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Sheet1" sheetId="1" r:id="rId3"/>
  </sheets>
  <definedNames>
    <definedName name="AbilityScores">Sheet1!$C$19:$M$35</definedName>
  </definedNames>
  <calcPr/>
</workbook>
</file>

<file path=xl/sharedStrings.xml><?xml version="1.0" encoding="utf-8"?>
<sst xmlns="http://schemas.openxmlformats.org/spreadsheetml/2006/main" count="444" uniqueCount="189">
  <si>
    <t>Player</t>
  </si>
  <si>
    <t>MjhX</t>
  </si>
  <si>
    <t>Tracks</t>
  </si>
  <si>
    <t>Path of the Ancestors</t>
  </si>
  <si>
    <t>Fast</t>
  </si>
  <si>
    <t>Name</t>
  </si>
  <si>
    <t>Guard Dog</t>
  </si>
  <si>
    <t>Wildborn</t>
  </si>
  <si>
    <t>Medium</t>
  </si>
  <si>
    <t>Race</t>
  </si>
  <si>
    <t>Discipline of the Dragon</t>
  </si>
  <si>
    <t>Slow</t>
  </si>
  <si>
    <t>Class</t>
  </si>
  <si>
    <t>Barbarian</t>
  </si>
  <si>
    <t>Level</t>
  </si>
  <si>
    <t>Runesong Scholar</t>
  </si>
  <si>
    <t>FBI</t>
  </si>
  <si>
    <t>Size</t>
  </si>
  <si>
    <t>Average</t>
  </si>
  <si>
    <t>Full Buy In</t>
  </si>
  <si>
    <t>Yes</t>
  </si>
  <si>
    <t>Size Penalties</t>
  </si>
  <si>
    <t>Ability Scores</t>
  </si>
  <si>
    <t>Hit Points</t>
  </si>
  <si>
    <t>Skills</t>
  </si>
  <si>
    <t>Weapon Property Guide</t>
  </si>
  <si>
    <t>Score</t>
  </si>
  <si>
    <t>Mod</t>
  </si>
  <si>
    <t>Base</t>
  </si>
  <si>
    <t>Bonus</t>
  </si>
  <si>
    <t>Misc</t>
  </si>
  <si>
    <t>Max HP</t>
  </si>
  <si>
    <t>KDM</t>
  </si>
  <si>
    <t>Lvl+1</t>
  </si>
  <si>
    <t>Physical Skills</t>
  </si>
  <si>
    <t>Total</t>
  </si>
  <si>
    <t>Abil</t>
  </si>
  <si>
    <t>Ranks</t>
  </si>
  <si>
    <t>Trained</t>
  </si>
  <si>
    <t>Brutal 1</t>
  </si>
  <si>
    <t>Magnum</t>
  </si>
  <si>
    <t>STR</t>
  </si>
  <si>
    <t>X</t>
  </si>
  <si>
    <t>Acrobatics</t>
  </si>
  <si>
    <t>Dex</t>
  </si>
  <si>
    <t>Brutal 2</t>
  </si>
  <si>
    <t>Point-blank</t>
  </si>
  <si>
    <t>Misc/Lvl</t>
  </si>
  <si>
    <t>Lvl</t>
  </si>
  <si>
    <t>Athletics</t>
  </si>
  <si>
    <t>Str</t>
  </si>
  <si>
    <t>DEX</t>
  </si>
  <si>
    <t>Brutal 3</t>
  </si>
  <si>
    <t>Larceny</t>
  </si>
  <si>
    <t>No</t>
  </si>
  <si>
    <t>CON</t>
  </si>
  <si>
    <t>Stealth</t>
  </si>
  <si>
    <t>Range, Speed, Vision</t>
  </si>
  <si>
    <t>Ride</t>
  </si>
  <si>
    <t>INT</t>
  </si>
  <si>
    <t>Vigor</t>
  </si>
  <si>
    <t>Con</t>
  </si>
  <si>
    <t>Speed</t>
  </si>
  <si>
    <t>WIS</t>
  </si>
  <si>
    <t>Knowledge Skills</t>
  </si>
  <si>
    <t>Arcana</t>
  </si>
  <si>
    <t>Int</t>
  </si>
  <si>
    <t>CHA</t>
  </si>
  <si>
    <t>Engineering</t>
  </si>
  <si>
    <t>Range</t>
  </si>
  <si>
    <t>Distance</t>
  </si>
  <si>
    <t>Melee</t>
  </si>
  <si>
    <t>Geography</t>
  </si>
  <si>
    <t>Ability</t>
  </si>
  <si>
    <t>KOM</t>
  </si>
  <si>
    <t>Close</t>
  </si>
  <si>
    <t>Movement</t>
  </si>
  <si>
    <t>History</t>
  </si>
  <si>
    <t>Modes</t>
  </si>
  <si>
    <t>Medicine</t>
  </si>
  <si>
    <t>1st</t>
  </si>
  <si>
    <t>2nd</t>
  </si>
  <si>
    <t>3rd</t>
  </si>
  <si>
    <t>4th</t>
  </si>
  <si>
    <t>Ability Bonus</t>
  </si>
  <si>
    <t>Long</t>
  </si>
  <si>
    <t>Nature</t>
  </si>
  <si>
    <t>Extreme</t>
  </si>
  <si>
    <t>Interaction Skills</t>
  </si>
  <si>
    <t>Bluff</t>
  </si>
  <si>
    <t>Cha</t>
  </si>
  <si>
    <t>BAB</t>
  </si>
  <si>
    <t>Good</t>
  </si>
  <si>
    <t>Vision Mode</t>
  </si>
  <si>
    <t>Diplomacy</t>
  </si>
  <si>
    <t>Darkvision</t>
  </si>
  <si>
    <t>Intimidate</t>
  </si>
  <si>
    <t>Ghostwise Sight</t>
  </si>
  <si>
    <t>Defenses and DCs</t>
  </si>
  <si>
    <t>Perception</t>
  </si>
  <si>
    <t>Wis</t>
  </si>
  <si>
    <t>Scaling Skill Bonuses</t>
  </si>
  <si>
    <t>Level/2</t>
  </si>
  <si>
    <t>Str/Dex</t>
  </si>
  <si>
    <t>Environmental Immunity</t>
  </si>
  <si>
    <t>Maneuver DC</t>
  </si>
  <si>
    <t>Feats</t>
  </si>
  <si>
    <t>Breath Rounds</t>
  </si>
  <si>
    <t>Vacuum</t>
  </si>
  <si>
    <t>Initiative</t>
  </si>
  <si>
    <t>Awareness</t>
  </si>
  <si>
    <t>Notes</t>
  </si>
  <si>
    <t>Racial</t>
  </si>
  <si>
    <t>Breakneck Pace</t>
  </si>
  <si>
    <t>Save Bonus vs. Dismount</t>
  </si>
  <si>
    <t>Str/Con</t>
  </si>
  <si>
    <t>Skill Flexibility</t>
  </si>
  <si>
    <t>Fort</t>
  </si>
  <si>
    <t>Dex/Int</t>
  </si>
  <si>
    <t>Ref</t>
  </si>
  <si>
    <t>6th</t>
  </si>
  <si>
    <t>Wis/Cha</t>
  </si>
  <si>
    <t>9th</t>
  </si>
  <si>
    <t>Will</t>
  </si>
  <si>
    <t>12th</t>
  </si>
  <si>
    <t>Good Saves</t>
  </si>
  <si>
    <t>Fort+Ref</t>
  </si>
  <si>
    <t>15th</t>
  </si>
  <si>
    <t>18th</t>
  </si>
  <si>
    <t>DR</t>
  </si>
  <si>
    <t>Item</t>
  </si>
  <si>
    <t>Deflect</t>
  </si>
  <si>
    <t>AC</t>
  </si>
  <si>
    <t>Weapon Attacks</t>
  </si>
  <si>
    <t>Mundane Items, Consumables, and Tokens</t>
  </si>
  <si>
    <t>Weapon 1</t>
  </si>
  <si>
    <t>Tooth &amp; Claw (1d6)</t>
  </si>
  <si>
    <t>Light Armor</t>
  </si>
  <si>
    <t>Str/2</t>
  </si>
  <si>
    <t>Prop</t>
  </si>
  <si>
    <t>Attack</t>
  </si>
  <si>
    <t>Damage</t>
  </si>
  <si>
    <t>Usable Consumables</t>
  </si>
  <si>
    <t>Properties</t>
  </si>
  <si>
    <t>[Brutal 2], [Reacting]</t>
  </si>
  <si>
    <t>Weapon 2</t>
  </si>
  <si>
    <t>Weapon 3</t>
  </si>
  <si>
    <t>Magic Items</t>
  </si>
  <si>
    <t>Slot</t>
  </si>
  <si>
    <t>Magic Item</t>
  </si>
  <si>
    <t>Lesser 1</t>
  </si>
  <si>
    <t>Lesser 2</t>
  </si>
  <si>
    <t>Weapon 4</t>
  </si>
  <si>
    <t>Lesser 3</t>
  </si>
  <si>
    <t>Lesser 4</t>
  </si>
  <si>
    <t>Lesser 5</t>
  </si>
  <si>
    <t>Greater 1</t>
  </si>
  <si>
    <t>Greater 2</t>
  </si>
  <si>
    <t>Weapon 5</t>
  </si>
  <si>
    <t>Greater 3</t>
  </si>
  <si>
    <t>Greater 4</t>
  </si>
  <si>
    <t>Relic 1</t>
  </si>
  <si>
    <t>Relic 2</t>
  </si>
  <si>
    <t>Artifact</t>
  </si>
  <si>
    <t>Weapon 6</t>
  </si>
  <si>
    <t>Feat</t>
  </si>
  <si>
    <t>Lesser Binding</t>
  </si>
  <si>
    <t>Greater Binding</t>
  </si>
  <si>
    <t>Other 1</t>
  </si>
  <si>
    <t>Other 2</t>
  </si>
  <si>
    <t>Other 3</t>
  </si>
  <si>
    <t>Track Progression</t>
  </si>
  <si>
    <t>Circle</t>
  </si>
  <si>
    <t>Fast Track</t>
  </si>
  <si>
    <t>Medium Tack</t>
  </si>
  <si>
    <t>Slow Track</t>
  </si>
  <si>
    <t>Medium Track (FBI)</t>
  </si>
  <si>
    <t>DC</t>
  </si>
  <si>
    <t>N/A</t>
  </si>
  <si>
    <t>1st Circle Ability</t>
  </si>
  <si>
    <t>Lineage</t>
  </si>
  <si>
    <t>On the Prowl</t>
  </si>
  <si>
    <t>Semantics</t>
  </si>
  <si>
    <t>2nd Circle Ability</t>
  </si>
  <si>
    <t>3rd Circle Ability</t>
  </si>
  <si>
    <t>4th Circle Ability</t>
  </si>
  <si>
    <t>5th Circle Ability</t>
  </si>
  <si>
    <t>6th Circle Ability</t>
  </si>
  <si>
    <t>7th Circle Ability</t>
  </si>
</sst>
</file>

<file path=xl/styles.xml><?xml version="1.0" encoding="utf-8"?>
<styleSheet xmlns="http://schemas.openxmlformats.org/spreadsheetml/2006/main" xmlns:x14ac="http://schemas.microsoft.com/office/spreadsheetml/2009/9/ac" xmlns:mc="http://schemas.openxmlformats.org/markup-compatibility/2006">
  <fonts count="18">
    <font>
      <sz val="10.0"/>
      <color rgb="FF000000"/>
      <name val="Arial"/>
    </font>
    <font>
      <sz val="12.0"/>
    </font>
    <font>
      <sz val="14.0"/>
      <color rgb="FFFFFFFF"/>
    </font>
    <font/>
    <font>
      <b/>
      <sz val="12.0"/>
    </font>
    <font>
      <sz val="7.0"/>
      <color rgb="FFFFFFFF"/>
    </font>
    <font>
      <sz val="7.0"/>
    </font>
    <font>
      <sz val="8.0"/>
    </font>
    <font>
      <b/>
      <sz val="12.0"/>
      <name val="Arial"/>
    </font>
    <font>
      <sz val="12.0"/>
      <name val="Arial"/>
    </font>
    <font>
      <name val="Arial"/>
    </font>
    <font>
      <sz val="6.0"/>
      <color rgb="FFD9D9D9"/>
    </font>
    <font>
      <sz val="7.0"/>
      <color rgb="FF000000"/>
    </font>
    <font>
      <sz val="14.0"/>
      <color rgb="FFFFFFFF"/>
      <name val="Arial"/>
    </font>
    <font>
      <sz val="7.0"/>
      <name val="Arial"/>
    </font>
    <font>
      <sz val="10.0"/>
      <color rgb="FFFFFFFF"/>
    </font>
    <font>
      <b/>
      <sz val="14.0"/>
      <color rgb="FF000000"/>
    </font>
    <font>
      <sz val="14.0"/>
      <color rgb="FF000000"/>
    </font>
  </fonts>
  <fills count="7">
    <fill>
      <patternFill patternType="none"/>
    </fill>
    <fill>
      <patternFill patternType="lightGray"/>
    </fill>
    <fill>
      <patternFill patternType="solid">
        <fgColor rgb="FFD9D9D9"/>
        <bgColor rgb="FFD9D9D9"/>
      </patternFill>
    </fill>
    <fill>
      <patternFill patternType="solid">
        <fgColor rgb="FFFFFFFF"/>
        <bgColor rgb="FFFFFFFF"/>
      </patternFill>
    </fill>
    <fill>
      <patternFill patternType="solid">
        <fgColor rgb="FF000000"/>
        <bgColor rgb="FF000000"/>
      </patternFill>
    </fill>
    <fill>
      <patternFill patternType="solid">
        <fgColor rgb="FF9FC5E8"/>
        <bgColor rgb="FF9FC5E8"/>
      </patternFill>
    </fill>
    <fill>
      <patternFill patternType="solid">
        <fgColor rgb="FFCFE2F3"/>
        <bgColor rgb="FFCFE2F3"/>
      </patternFill>
    </fill>
  </fills>
  <borders count="9">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right style="thin">
        <color rgb="FF000000"/>
      </right>
    </border>
    <border>
      <left style="thin">
        <color rgb="FF000000"/>
      </left>
    </border>
  </borders>
  <cellStyleXfs count="1">
    <xf borderId="0" fillId="0" fontId="0" numFmtId="0" applyAlignment="1" applyFont="1"/>
  </cellStyleXfs>
  <cellXfs count="76">
    <xf borderId="0" fillId="0" fontId="0" numFmtId="0" xfId="0" applyAlignment="1" applyFont="1">
      <alignment readingOrder="0" shrinkToFit="0" vertical="bottom" wrapText="0"/>
    </xf>
    <xf borderId="0" fillId="2" fontId="1" numFmtId="0" xfId="0" applyAlignment="1" applyFill="1" applyFont="1">
      <alignment horizontal="center" vertical="center"/>
    </xf>
    <xf borderId="0" fillId="2" fontId="2" numFmtId="0" xfId="0" applyAlignment="1" applyFont="1">
      <alignment horizontal="center" readingOrder="0" vertical="center"/>
    </xf>
    <xf borderId="0" fillId="3" fontId="1" numFmtId="0" xfId="0" applyAlignment="1" applyFill="1" applyFont="1">
      <alignment horizontal="center" vertical="center"/>
    </xf>
    <xf borderId="1" fillId="4" fontId="2" numFmtId="0" xfId="0" applyAlignment="1" applyBorder="1" applyFill="1" applyFont="1">
      <alignment horizontal="center" readingOrder="0" vertical="center"/>
    </xf>
    <xf borderId="2" fillId="0" fontId="3" numFmtId="0" xfId="0" applyBorder="1" applyFont="1"/>
    <xf borderId="3" fillId="0" fontId="3" numFmtId="0" xfId="0" applyBorder="1" applyFont="1"/>
    <xf borderId="1" fillId="3" fontId="1" numFmtId="0" xfId="0" applyAlignment="1" applyBorder="1" applyFont="1">
      <alignment horizontal="left" readingOrder="0" vertical="center"/>
    </xf>
    <xf borderId="0" fillId="4" fontId="2" numFmtId="0" xfId="0" applyAlignment="1" applyFont="1">
      <alignment horizontal="center" readingOrder="0" vertical="center"/>
    </xf>
    <xf borderId="1" fillId="5" fontId="4" numFmtId="0" xfId="0" applyAlignment="1" applyBorder="1" applyFill="1" applyFont="1">
      <alignment horizontal="center" vertical="center"/>
    </xf>
    <xf borderId="1" fillId="4" fontId="5" numFmtId="0" xfId="0" applyAlignment="1" applyBorder="1" applyFont="1">
      <alignment horizontal="center" readingOrder="0" vertical="center"/>
    </xf>
    <xf borderId="4" fillId="0" fontId="3" numFmtId="0" xfId="0" applyBorder="1" applyFont="1"/>
    <xf borderId="5" fillId="0" fontId="3" numFmtId="0" xfId="0" applyBorder="1" applyFont="1"/>
    <xf borderId="6" fillId="0" fontId="3" numFmtId="0" xfId="0" applyBorder="1" applyFont="1"/>
    <xf borderId="1" fillId="3" fontId="1" numFmtId="0" xfId="0" applyAlignment="1" applyBorder="1" applyFont="1">
      <alignment horizontal="center" readingOrder="0" vertical="center"/>
    </xf>
    <xf borderId="0" fillId="2" fontId="6" numFmtId="0" xfId="0" applyAlignment="1" applyFont="1">
      <alignment horizontal="center" vertical="center"/>
    </xf>
    <xf borderId="0" fillId="2" fontId="6" numFmtId="0" xfId="0" applyAlignment="1" applyFont="1">
      <alignment horizontal="center" readingOrder="0" vertical="center"/>
    </xf>
    <xf borderId="0" fillId="2" fontId="7" numFmtId="0" xfId="0" applyAlignment="1" applyFont="1">
      <alignment horizontal="center" vertical="center"/>
    </xf>
    <xf borderId="0" fillId="2" fontId="1" numFmtId="0" xfId="0" applyAlignment="1" applyFont="1">
      <alignment horizontal="center" readingOrder="0" vertical="center"/>
    </xf>
    <xf borderId="0" fillId="2" fontId="4" numFmtId="0" xfId="0" applyAlignment="1" applyFont="1">
      <alignment horizontal="center" vertical="center"/>
    </xf>
    <xf borderId="0" fillId="2" fontId="7" numFmtId="0" xfId="0" applyAlignment="1" applyFont="1">
      <alignment horizontal="center" readingOrder="0" vertical="center"/>
    </xf>
    <xf borderId="1" fillId="5" fontId="8" numFmtId="0" xfId="0" applyAlignment="1" applyBorder="1" applyFont="1">
      <alignment horizontal="center" vertical="center"/>
    </xf>
    <xf borderId="2" fillId="6" fontId="8" numFmtId="0" xfId="0" applyAlignment="1" applyBorder="1" applyFill="1" applyFont="1">
      <alignment horizontal="center" vertical="center"/>
    </xf>
    <xf borderId="1" fillId="3" fontId="9" numFmtId="0" xfId="0" applyAlignment="1" applyBorder="1" applyFont="1">
      <alignment horizontal="center" readingOrder="0" vertical="center"/>
    </xf>
    <xf borderId="7" fillId="2" fontId="9" numFmtId="0" xfId="0" applyAlignment="1" applyBorder="1" applyFont="1">
      <alignment horizontal="center" vertical="center"/>
    </xf>
    <xf borderId="1" fillId="3" fontId="9" numFmtId="0" xfId="0" applyAlignment="1" applyBorder="1" applyFont="1">
      <alignment horizontal="center" vertical="center"/>
    </xf>
    <xf borderId="1" fillId="6" fontId="4" numFmtId="0" xfId="0" applyAlignment="1" applyBorder="1" applyFont="1">
      <alignment horizontal="center" vertical="center"/>
    </xf>
    <xf borderId="0" fillId="2" fontId="4" numFmtId="0" xfId="0" applyAlignment="1" applyFont="1">
      <alignment horizontal="center" readingOrder="0" vertical="center"/>
    </xf>
    <xf borderId="0" fillId="2" fontId="2" numFmtId="0" xfId="0" applyAlignment="1" applyFont="1">
      <alignment horizontal="center" vertical="center"/>
    </xf>
    <xf borderId="5" fillId="2" fontId="10" numFmtId="0" xfId="0" applyAlignment="1" applyBorder="1" applyFont="1">
      <alignment horizontal="center" vertical="center"/>
    </xf>
    <xf borderId="5" fillId="2" fontId="9" numFmtId="0" xfId="0" applyAlignment="1" applyBorder="1" applyFont="1">
      <alignment horizontal="center" vertical="center"/>
    </xf>
    <xf borderId="0" fillId="2" fontId="9" numFmtId="0" xfId="0" applyAlignment="1" applyFont="1">
      <alignment horizontal="center" vertical="center"/>
    </xf>
    <xf borderId="5" fillId="2" fontId="8" numFmtId="0" xfId="0" applyAlignment="1" applyBorder="1" applyFont="1">
      <alignment horizontal="center" vertical="center"/>
    </xf>
    <xf borderId="8" fillId="3" fontId="9" numFmtId="0" xfId="0" applyAlignment="1" applyBorder="1" applyFont="1">
      <alignment horizontal="center" readingOrder="0" vertical="center"/>
    </xf>
    <xf borderId="7" fillId="0" fontId="3" numFmtId="0" xfId="0" applyBorder="1" applyFont="1"/>
    <xf borderId="8" fillId="5" fontId="8" numFmtId="0" xfId="0" applyAlignment="1" applyBorder="1" applyFont="1">
      <alignment horizontal="center" readingOrder="0" vertical="center"/>
    </xf>
    <xf borderId="8" fillId="5" fontId="8" numFmtId="0" xfId="0" applyAlignment="1" applyBorder="1" applyFont="1">
      <alignment horizontal="center" vertical="center"/>
    </xf>
    <xf borderId="8" fillId="3" fontId="9" numFmtId="0" xfId="0" applyAlignment="1" applyBorder="1" applyFont="1">
      <alignment horizontal="center" vertical="center"/>
    </xf>
    <xf borderId="0" fillId="2" fontId="11" numFmtId="0" xfId="0" applyAlignment="1" applyFont="1">
      <alignment horizontal="center" vertical="center"/>
    </xf>
    <xf borderId="0" fillId="2" fontId="9" numFmtId="0" xfId="0" applyAlignment="1" applyFont="1">
      <alignment horizontal="center" vertical="center"/>
    </xf>
    <xf borderId="0" fillId="2" fontId="9" numFmtId="0" xfId="0" applyAlignment="1" applyFont="1">
      <alignment horizontal="center" readingOrder="0" vertical="center"/>
    </xf>
    <xf borderId="0" fillId="2" fontId="12" numFmtId="0" xfId="0" applyAlignment="1" applyFont="1">
      <alignment horizontal="center" readingOrder="0" vertical="center"/>
    </xf>
    <xf borderId="1" fillId="6" fontId="8" numFmtId="0" xfId="0" applyAlignment="1" applyBorder="1" applyFont="1">
      <alignment horizontal="center" vertical="center"/>
    </xf>
    <xf borderId="2" fillId="3" fontId="8" numFmtId="0" xfId="0" applyAlignment="1" applyBorder="1" applyFont="1">
      <alignment horizontal="center" readingOrder="0" vertical="center"/>
    </xf>
    <xf borderId="0" fillId="2" fontId="3" numFmtId="0" xfId="0" applyAlignment="1" applyFont="1">
      <alignment horizontal="center" vertical="center"/>
    </xf>
    <xf borderId="1" fillId="3" fontId="8" numFmtId="0" xfId="0" applyAlignment="1" applyBorder="1" applyFont="1">
      <alignment horizontal="center" readingOrder="0" vertical="center"/>
    </xf>
    <xf borderId="1" fillId="3" fontId="1" numFmtId="0" xfId="0" applyAlignment="1" applyBorder="1" applyFont="1">
      <alignment horizontal="center" vertical="center"/>
    </xf>
    <xf borderId="1" fillId="5" fontId="4" numFmtId="0" xfId="0" applyAlignment="1" applyBorder="1" applyFont="1">
      <alignment horizontal="center" readingOrder="0" vertical="center"/>
    </xf>
    <xf borderId="1" fillId="4" fontId="13" numFmtId="0" xfId="0" applyAlignment="1" applyBorder="1" applyFont="1">
      <alignment horizontal="center" readingOrder="0" vertical="center"/>
    </xf>
    <xf borderId="0" fillId="2" fontId="3" numFmtId="0" xfId="0" applyAlignment="1" applyFont="1">
      <alignment vertical="center"/>
    </xf>
    <xf borderId="0" fillId="2" fontId="1" numFmtId="0" xfId="0" applyAlignment="1" applyFont="1">
      <alignment horizontal="center" readingOrder="0" shrinkToFit="0" vertical="center" wrapText="1"/>
    </xf>
    <xf borderId="1" fillId="5" fontId="4" numFmtId="0" xfId="0" applyAlignment="1" applyBorder="1" applyFont="1">
      <alignment horizontal="center" readingOrder="0" shrinkToFit="0" vertical="center" wrapText="1"/>
    </xf>
    <xf borderId="5" fillId="2" fontId="14" numFmtId="0" xfId="0" applyAlignment="1" applyBorder="1" applyFont="1">
      <alignment horizontal="center" vertical="center"/>
    </xf>
    <xf borderId="5" fillId="2" fontId="14" numFmtId="0" xfId="0" applyAlignment="1" applyBorder="1" applyFont="1">
      <alignment horizontal="center" vertical="center"/>
    </xf>
    <xf borderId="8" fillId="6" fontId="8" numFmtId="0" xfId="0" applyAlignment="1" applyBorder="1" applyFont="1">
      <alignment horizontal="center" vertical="center"/>
    </xf>
    <xf borderId="0" fillId="5" fontId="8" numFmtId="0" xfId="0" applyAlignment="1" applyFont="1">
      <alignment horizontal="center" vertical="center"/>
    </xf>
    <xf borderId="1" fillId="4" fontId="13" numFmtId="0" xfId="0" applyAlignment="1" applyBorder="1" applyFont="1">
      <alignment horizontal="center" vertical="center"/>
    </xf>
    <xf borderId="0" fillId="2" fontId="4" numFmtId="0" xfId="0" applyAlignment="1" applyFont="1">
      <alignment horizontal="center" readingOrder="0" shrinkToFit="0" vertical="center" wrapText="1"/>
    </xf>
    <xf borderId="1" fillId="3" fontId="1" numFmtId="0" xfId="0" applyAlignment="1" applyBorder="1" applyFont="1">
      <alignment horizontal="center" readingOrder="0" shrinkToFit="0" vertical="center" wrapText="1"/>
    </xf>
    <xf borderId="8" fillId="0" fontId="3" numFmtId="0" xfId="0" applyBorder="1" applyFont="1"/>
    <xf borderId="0" fillId="2" fontId="14" numFmtId="0" xfId="0" applyAlignment="1" applyFont="1">
      <alignment horizontal="center" vertical="center"/>
    </xf>
    <xf borderId="0" fillId="2" fontId="14" numFmtId="0" xfId="0" applyAlignment="1" applyFont="1">
      <alignment horizontal="center" readingOrder="0" vertical="center"/>
    </xf>
    <xf borderId="0" fillId="2" fontId="14" numFmtId="0" xfId="0" applyAlignment="1" applyFont="1">
      <alignment horizontal="center" vertical="center"/>
    </xf>
    <xf borderId="1" fillId="5" fontId="8" numFmtId="0" xfId="0" applyAlignment="1" applyBorder="1" applyFont="1">
      <alignment horizontal="center" vertical="center"/>
    </xf>
    <xf borderId="8" fillId="5" fontId="8" numFmtId="0" xfId="0" applyAlignment="1" applyBorder="1" applyFont="1">
      <alignment horizontal="center" shrinkToFit="0" vertical="center" wrapText="1"/>
    </xf>
    <xf borderId="0" fillId="4" fontId="2" numFmtId="0" xfId="0" applyAlignment="1" applyFont="1">
      <alignment horizontal="center" vertical="center"/>
    </xf>
    <xf borderId="0" fillId="4" fontId="15" numFmtId="0" xfId="0" applyAlignment="1" applyFont="1">
      <alignment horizontal="center" readingOrder="0" vertical="center"/>
    </xf>
    <xf borderId="1" fillId="5" fontId="16" numFmtId="0" xfId="0" applyAlignment="1" applyBorder="1" applyFont="1">
      <alignment horizontal="center" readingOrder="0" vertical="center"/>
    </xf>
    <xf borderId="1" fillId="6" fontId="16" numFmtId="0" xfId="0" applyAlignment="1" applyBorder="1" applyFont="1">
      <alignment horizontal="center" readingOrder="0" vertical="center"/>
    </xf>
    <xf borderId="1" fillId="3" fontId="17" numFmtId="0" xfId="0" applyAlignment="1" applyBorder="1" applyFont="1">
      <alignment horizontal="center" readingOrder="0" vertical="center"/>
    </xf>
    <xf borderId="8" fillId="3" fontId="9" numFmtId="0" xfId="0" applyAlignment="1" applyBorder="1" applyFont="1">
      <alignment horizontal="center" shrinkToFit="0" vertical="center" wrapText="1"/>
    </xf>
    <xf borderId="0" fillId="2" fontId="1" numFmtId="0" xfId="0" applyAlignment="1" applyFont="1">
      <alignment horizontal="center" shrinkToFit="0" vertical="center" wrapText="1"/>
    </xf>
    <xf borderId="1" fillId="3" fontId="1" numFmtId="0" xfId="0" applyAlignment="1" applyBorder="1" applyFont="1">
      <alignment horizontal="center" shrinkToFit="0" vertical="center" wrapText="1"/>
    </xf>
    <xf borderId="1" fillId="3" fontId="9" numFmtId="0" xfId="0" applyAlignment="1" applyBorder="1" applyFont="1">
      <alignment horizontal="center" shrinkToFit="0" vertical="center" wrapText="1"/>
    </xf>
    <xf borderId="0" fillId="2" fontId="10" numFmtId="0" xfId="0" applyAlignment="1" applyFont="1">
      <alignment vertical="center"/>
    </xf>
    <xf borderId="7" fillId="2" fontId="10" numFmtId="0" xfId="0" applyAlignment="1" applyBorder="1" applyFont="1">
      <alignment vertical="center"/>
    </xf>
  </cellXfs>
  <cellStyles count="1">
    <cellStyle xfId="0" name="Normal" builtinId="0"/>
  </cellStyles>
  <dxfs count="4">
    <dxf>
      <font/>
      <fill>
        <patternFill patternType="solid">
          <fgColor rgb="FFB7E1CD"/>
          <bgColor rgb="FFB7E1CD"/>
        </patternFill>
      </fill>
      <border/>
    </dxf>
    <dxf>
      <font/>
      <fill>
        <patternFill patternType="solid">
          <fgColor rgb="FFF4C7C3"/>
          <bgColor rgb="FFF4C7C3"/>
        </patternFill>
      </fill>
      <border/>
    </dxf>
    <dxf>
      <font/>
      <fill>
        <patternFill patternType="solid">
          <fgColor rgb="FF999999"/>
          <bgColor rgb="FF999999"/>
        </patternFill>
      </fill>
      <border/>
    </dxf>
    <dxf>
      <font>
        <color rgb="FF000000"/>
      </font>
      <fill>
        <patternFill patternType="solid">
          <fgColor rgb="FF000000"/>
          <bgColor rgb="FF00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94" width="2.29"/>
  </cols>
  <sheetData>
    <row r="1" ht="11.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row>
    <row r="2" ht="11.2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1"/>
    </row>
    <row r="3" ht="11.25" customHeight="1">
      <c r="A3" s="1"/>
      <c r="B3" s="1"/>
      <c r="C3" s="3" t="str">
        <f>IMAGE("http://i.imgur.com/MYN6v0q.png")</f>
        <v/>
      </c>
      <c r="L3" s="1"/>
      <c r="M3" s="4" t="s">
        <v>0</v>
      </c>
      <c r="N3" s="5"/>
      <c r="O3" s="5"/>
      <c r="P3" s="6"/>
      <c r="Q3" s="7" t="s">
        <v>1</v>
      </c>
      <c r="R3" s="5"/>
      <c r="S3" s="5"/>
      <c r="T3" s="5"/>
      <c r="U3" s="5"/>
      <c r="V3" s="5"/>
      <c r="W3" s="5"/>
      <c r="X3" s="5"/>
      <c r="Y3" s="5"/>
      <c r="Z3" s="5"/>
      <c r="AA3" s="5"/>
      <c r="AB3" s="5"/>
      <c r="AC3" s="5"/>
      <c r="AD3" s="5"/>
      <c r="AE3" s="6"/>
      <c r="AF3" s="8" t="s">
        <v>2</v>
      </c>
      <c r="AJ3" s="7" t="s">
        <v>3</v>
      </c>
      <c r="AK3" s="5"/>
      <c r="AL3" s="5"/>
      <c r="AM3" s="5"/>
      <c r="AN3" s="5"/>
      <c r="AO3" s="5"/>
      <c r="AP3" s="5"/>
      <c r="AQ3" s="5"/>
      <c r="AR3" s="5"/>
      <c r="AS3" s="5"/>
      <c r="AT3" s="5"/>
      <c r="AU3" s="5"/>
      <c r="AV3" s="5"/>
      <c r="AW3" s="5"/>
      <c r="AX3" s="6"/>
      <c r="AY3" s="9">
        <f>1+floor($AC$9/3)</f>
        <v>2</v>
      </c>
      <c r="AZ3" s="6"/>
      <c r="BA3" s="10" t="s">
        <v>4</v>
      </c>
      <c r="BB3" s="5"/>
      <c r="BC3" s="6"/>
      <c r="BD3" s="1"/>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1"/>
    </row>
    <row r="4" ht="11.25" customHeight="1">
      <c r="A4" s="1"/>
      <c r="B4" s="1"/>
      <c r="L4" s="1"/>
      <c r="M4" s="11"/>
      <c r="N4" s="12"/>
      <c r="O4" s="12"/>
      <c r="P4" s="13"/>
      <c r="Q4" s="11"/>
      <c r="R4" s="12"/>
      <c r="S4" s="12"/>
      <c r="T4" s="12"/>
      <c r="U4" s="12"/>
      <c r="V4" s="12"/>
      <c r="W4" s="12"/>
      <c r="X4" s="12"/>
      <c r="Y4" s="12"/>
      <c r="Z4" s="12"/>
      <c r="AA4" s="12"/>
      <c r="AB4" s="12"/>
      <c r="AC4" s="12"/>
      <c r="AD4" s="12"/>
      <c r="AE4" s="13"/>
      <c r="AJ4" s="11"/>
      <c r="AK4" s="12"/>
      <c r="AL4" s="12"/>
      <c r="AM4" s="12"/>
      <c r="AN4" s="12"/>
      <c r="AO4" s="12"/>
      <c r="AP4" s="12"/>
      <c r="AQ4" s="12"/>
      <c r="AR4" s="12"/>
      <c r="AS4" s="12"/>
      <c r="AT4" s="12"/>
      <c r="AU4" s="12"/>
      <c r="AV4" s="12"/>
      <c r="AW4" s="12"/>
      <c r="AX4" s="13"/>
      <c r="AY4" s="11"/>
      <c r="AZ4" s="13"/>
      <c r="BA4" s="11"/>
      <c r="BB4" s="12"/>
      <c r="BC4" s="13"/>
      <c r="BD4" s="1"/>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1"/>
    </row>
    <row r="5" ht="11.25" customHeight="1">
      <c r="A5" s="1"/>
      <c r="B5" s="1"/>
      <c r="L5" s="1"/>
      <c r="M5" s="4" t="s">
        <v>5</v>
      </c>
      <c r="N5" s="5"/>
      <c r="O5" s="5"/>
      <c r="P5" s="6"/>
      <c r="Q5" s="7" t="s">
        <v>6</v>
      </c>
      <c r="R5" s="5"/>
      <c r="S5" s="5"/>
      <c r="T5" s="5"/>
      <c r="U5" s="5"/>
      <c r="V5" s="5"/>
      <c r="W5" s="5"/>
      <c r="X5" s="5"/>
      <c r="Y5" s="5"/>
      <c r="Z5" s="5"/>
      <c r="AA5" s="5"/>
      <c r="AB5" s="5"/>
      <c r="AC5" s="5"/>
      <c r="AD5" s="5"/>
      <c r="AE5" s="6"/>
      <c r="AJ5" s="7" t="s">
        <v>7</v>
      </c>
      <c r="AK5" s="5"/>
      <c r="AL5" s="5"/>
      <c r="AM5" s="5"/>
      <c r="AN5" s="5"/>
      <c r="AO5" s="5"/>
      <c r="AP5" s="5"/>
      <c r="AQ5" s="5"/>
      <c r="AR5" s="5"/>
      <c r="AS5" s="5"/>
      <c r="AT5" s="5"/>
      <c r="AU5" s="5"/>
      <c r="AV5" s="5"/>
      <c r="AW5" s="5"/>
      <c r="AX5" s="6"/>
      <c r="AY5" s="9">
        <f>1+floor(($AC$9-1)/3)</f>
        <v>2</v>
      </c>
      <c r="AZ5" s="6"/>
      <c r="BA5" s="10" t="s">
        <v>8</v>
      </c>
      <c r="BB5" s="5"/>
      <c r="BC5" s="6"/>
      <c r="BD5" s="1"/>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1"/>
    </row>
    <row r="6" ht="11.25" customHeight="1">
      <c r="A6" s="1"/>
      <c r="B6" s="1"/>
      <c r="L6" s="1"/>
      <c r="M6" s="11"/>
      <c r="N6" s="12"/>
      <c r="O6" s="12"/>
      <c r="P6" s="13"/>
      <c r="Q6" s="11"/>
      <c r="R6" s="12"/>
      <c r="S6" s="12"/>
      <c r="T6" s="12"/>
      <c r="U6" s="12"/>
      <c r="V6" s="12"/>
      <c r="W6" s="12"/>
      <c r="X6" s="12"/>
      <c r="Y6" s="12"/>
      <c r="Z6" s="12"/>
      <c r="AA6" s="12"/>
      <c r="AB6" s="12"/>
      <c r="AC6" s="12"/>
      <c r="AD6" s="12"/>
      <c r="AE6" s="13"/>
      <c r="AJ6" s="11"/>
      <c r="AK6" s="12"/>
      <c r="AL6" s="12"/>
      <c r="AM6" s="12"/>
      <c r="AN6" s="12"/>
      <c r="AO6" s="12"/>
      <c r="AP6" s="12"/>
      <c r="AQ6" s="12"/>
      <c r="AR6" s="12"/>
      <c r="AS6" s="12"/>
      <c r="AT6" s="12"/>
      <c r="AU6" s="12"/>
      <c r="AV6" s="12"/>
      <c r="AW6" s="12"/>
      <c r="AX6" s="13"/>
      <c r="AY6" s="11"/>
      <c r="AZ6" s="13"/>
      <c r="BA6" s="11"/>
      <c r="BB6" s="12"/>
      <c r="BC6" s="13"/>
      <c r="BD6" s="1"/>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1"/>
    </row>
    <row r="7" ht="11.25" customHeight="1">
      <c r="A7" s="1"/>
      <c r="B7" s="1"/>
      <c r="L7" s="1"/>
      <c r="M7" s="4" t="s">
        <v>9</v>
      </c>
      <c r="N7" s="5"/>
      <c r="O7" s="5"/>
      <c r="P7" s="6"/>
      <c r="Q7" s="7" t="s">
        <v>7</v>
      </c>
      <c r="R7" s="5"/>
      <c r="S7" s="5"/>
      <c r="T7" s="5"/>
      <c r="U7" s="5"/>
      <c r="V7" s="5"/>
      <c r="W7" s="5"/>
      <c r="X7" s="5"/>
      <c r="Y7" s="5"/>
      <c r="Z7" s="5"/>
      <c r="AA7" s="5"/>
      <c r="AB7" s="5"/>
      <c r="AC7" s="5"/>
      <c r="AD7" s="5"/>
      <c r="AE7" s="6"/>
      <c r="AJ7" s="7" t="s">
        <v>10</v>
      </c>
      <c r="AK7" s="5"/>
      <c r="AL7" s="5"/>
      <c r="AM7" s="5"/>
      <c r="AN7" s="5"/>
      <c r="AO7" s="5"/>
      <c r="AP7" s="5"/>
      <c r="AQ7" s="5"/>
      <c r="AR7" s="5"/>
      <c r="AS7" s="5"/>
      <c r="AT7" s="5"/>
      <c r="AU7" s="5"/>
      <c r="AV7" s="5"/>
      <c r="AW7" s="5"/>
      <c r="AX7" s="6"/>
      <c r="AY7" s="9">
        <f>floor(($AC$9+1)/3)</f>
        <v>1</v>
      </c>
      <c r="AZ7" s="6"/>
      <c r="BA7" s="10" t="s">
        <v>11</v>
      </c>
      <c r="BB7" s="5"/>
      <c r="BC7" s="6"/>
      <c r="BD7" s="1"/>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1"/>
    </row>
    <row r="8" ht="11.25" customHeight="1">
      <c r="A8" s="1"/>
      <c r="B8" s="1"/>
      <c r="L8" s="1"/>
      <c r="M8" s="11"/>
      <c r="N8" s="12"/>
      <c r="O8" s="12"/>
      <c r="P8" s="13"/>
      <c r="Q8" s="11"/>
      <c r="R8" s="12"/>
      <c r="S8" s="12"/>
      <c r="T8" s="12"/>
      <c r="U8" s="12"/>
      <c r="V8" s="12"/>
      <c r="W8" s="12"/>
      <c r="X8" s="12"/>
      <c r="Y8" s="12"/>
      <c r="Z8" s="12"/>
      <c r="AA8" s="12"/>
      <c r="AB8" s="12"/>
      <c r="AC8" s="12"/>
      <c r="AD8" s="12"/>
      <c r="AE8" s="13"/>
      <c r="AJ8" s="11"/>
      <c r="AK8" s="12"/>
      <c r="AL8" s="12"/>
      <c r="AM8" s="12"/>
      <c r="AN8" s="12"/>
      <c r="AO8" s="12"/>
      <c r="AP8" s="12"/>
      <c r="AQ8" s="12"/>
      <c r="AR8" s="12"/>
      <c r="AS8" s="12"/>
      <c r="AT8" s="12"/>
      <c r="AU8" s="12"/>
      <c r="AV8" s="12"/>
      <c r="AW8" s="12"/>
      <c r="AX8" s="13"/>
      <c r="AY8" s="11"/>
      <c r="AZ8" s="13"/>
      <c r="BA8" s="11"/>
      <c r="BB8" s="12"/>
      <c r="BC8" s="13"/>
      <c r="BD8" s="1"/>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1"/>
    </row>
    <row r="9" ht="11.25" customHeight="1">
      <c r="A9" s="1"/>
      <c r="B9" s="1"/>
      <c r="L9" s="1"/>
      <c r="M9" s="4" t="s">
        <v>12</v>
      </c>
      <c r="N9" s="5"/>
      <c r="O9" s="5"/>
      <c r="P9" s="6"/>
      <c r="Q9" s="7" t="s">
        <v>13</v>
      </c>
      <c r="R9" s="5"/>
      <c r="S9" s="5"/>
      <c r="T9" s="5"/>
      <c r="U9" s="5"/>
      <c r="V9" s="5"/>
      <c r="W9" s="5"/>
      <c r="X9" s="6"/>
      <c r="Y9" s="8" t="s">
        <v>14</v>
      </c>
      <c r="AC9" s="14">
        <v>4.0</v>
      </c>
      <c r="AD9" s="5"/>
      <c r="AE9" s="6"/>
      <c r="AJ9" s="7" t="s">
        <v>15</v>
      </c>
      <c r="AK9" s="5"/>
      <c r="AL9" s="5"/>
      <c r="AM9" s="5"/>
      <c r="AN9" s="5"/>
      <c r="AO9" s="5"/>
      <c r="AP9" s="5"/>
      <c r="AQ9" s="5"/>
      <c r="AR9" s="5"/>
      <c r="AS9" s="5"/>
      <c r="AT9" s="5"/>
      <c r="AU9" s="5"/>
      <c r="AV9" s="5"/>
      <c r="AW9" s="5"/>
      <c r="AX9" s="6"/>
      <c r="AY9" s="9">
        <f>if(AF11="Yes",1+floor(($AC$9-1)/3),0)</f>
        <v>2</v>
      </c>
      <c r="AZ9" s="6"/>
      <c r="BA9" s="10" t="s">
        <v>16</v>
      </c>
      <c r="BB9" s="5"/>
      <c r="BC9" s="6"/>
      <c r="BD9" s="1"/>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1"/>
    </row>
    <row r="10" ht="11.25" customHeight="1">
      <c r="A10" s="1"/>
      <c r="B10" s="1"/>
      <c r="L10" s="1"/>
      <c r="M10" s="11"/>
      <c r="N10" s="12"/>
      <c r="O10" s="12"/>
      <c r="P10" s="13"/>
      <c r="Q10" s="11"/>
      <c r="R10" s="12"/>
      <c r="S10" s="12"/>
      <c r="T10" s="12"/>
      <c r="U10" s="12"/>
      <c r="V10" s="12"/>
      <c r="W10" s="12"/>
      <c r="X10" s="13"/>
      <c r="AC10" s="11"/>
      <c r="AD10" s="12"/>
      <c r="AE10" s="13"/>
      <c r="AJ10" s="11"/>
      <c r="AK10" s="12"/>
      <c r="AL10" s="12"/>
      <c r="AM10" s="12"/>
      <c r="AN10" s="12"/>
      <c r="AO10" s="12"/>
      <c r="AP10" s="12"/>
      <c r="AQ10" s="12"/>
      <c r="AR10" s="12"/>
      <c r="AS10" s="12"/>
      <c r="AT10" s="12"/>
      <c r="AU10" s="12"/>
      <c r="AV10" s="12"/>
      <c r="AW10" s="12"/>
      <c r="AX10" s="13"/>
      <c r="AY10" s="11"/>
      <c r="AZ10" s="13"/>
      <c r="BA10" s="11"/>
      <c r="BB10" s="12"/>
      <c r="BC10" s="13"/>
      <c r="BD10" s="1"/>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1"/>
    </row>
    <row r="11" ht="11.25" customHeight="1">
      <c r="A11" s="1"/>
      <c r="B11" s="1"/>
      <c r="L11" s="1"/>
      <c r="M11" s="4" t="s">
        <v>17</v>
      </c>
      <c r="N11" s="5"/>
      <c r="O11" s="5"/>
      <c r="P11" s="6"/>
      <c r="Q11" s="14" t="s">
        <v>18</v>
      </c>
      <c r="R11" s="5"/>
      <c r="S11" s="5"/>
      <c r="T11" s="5"/>
      <c r="U11" s="5"/>
      <c r="V11" s="5"/>
      <c r="W11" s="5"/>
      <c r="X11" s="6"/>
      <c r="Y11" s="4" t="s">
        <v>19</v>
      </c>
      <c r="Z11" s="5"/>
      <c r="AA11" s="5"/>
      <c r="AB11" s="5"/>
      <c r="AC11" s="5"/>
      <c r="AD11" s="5"/>
      <c r="AE11" s="6"/>
      <c r="AF11" s="14" t="s">
        <v>20</v>
      </c>
      <c r="AG11" s="5"/>
      <c r="AH11" s="5"/>
      <c r="AI11" s="6"/>
      <c r="AJ11" s="4" t="s">
        <v>21</v>
      </c>
      <c r="AK11" s="5"/>
      <c r="AL11" s="5"/>
      <c r="AM11" s="5"/>
      <c r="AN11" s="5"/>
      <c r="AO11" s="5"/>
      <c r="AP11" s="5"/>
      <c r="AQ11" s="5"/>
      <c r="AR11" s="6"/>
      <c r="AS11" s="14" t="s">
        <v>20</v>
      </c>
      <c r="AT11" s="5"/>
      <c r="AU11" s="5"/>
      <c r="AV11" s="6"/>
      <c r="AW11" s="1"/>
      <c r="AX11" s="1"/>
      <c r="AY11" s="1"/>
      <c r="AZ11" s="1"/>
      <c r="BA11" s="1"/>
      <c r="BB11" s="1"/>
      <c r="BC11" s="1"/>
      <c r="BD11" s="1"/>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1"/>
    </row>
    <row r="12" ht="11.25" customHeight="1">
      <c r="A12" s="1"/>
      <c r="B12" s="1"/>
      <c r="C12" s="1"/>
      <c r="D12" s="1"/>
      <c r="E12" s="1"/>
      <c r="F12" s="1"/>
      <c r="G12" s="1"/>
      <c r="H12" s="1"/>
      <c r="I12" s="1"/>
      <c r="J12" s="1"/>
      <c r="K12" s="1"/>
      <c r="L12" s="1"/>
      <c r="M12" s="11"/>
      <c r="N12" s="12"/>
      <c r="O12" s="12"/>
      <c r="P12" s="13"/>
      <c r="Q12" s="11"/>
      <c r="R12" s="12"/>
      <c r="S12" s="12"/>
      <c r="T12" s="12"/>
      <c r="U12" s="12"/>
      <c r="V12" s="12"/>
      <c r="W12" s="12"/>
      <c r="X12" s="13"/>
      <c r="Y12" s="11"/>
      <c r="Z12" s="12"/>
      <c r="AA12" s="12"/>
      <c r="AB12" s="12"/>
      <c r="AC12" s="12"/>
      <c r="AD12" s="12"/>
      <c r="AE12" s="13"/>
      <c r="AF12" s="11"/>
      <c r="AG12" s="12"/>
      <c r="AH12" s="12"/>
      <c r="AI12" s="13"/>
      <c r="AJ12" s="11"/>
      <c r="AK12" s="12"/>
      <c r="AL12" s="12"/>
      <c r="AM12" s="12"/>
      <c r="AN12" s="12"/>
      <c r="AO12" s="12"/>
      <c r="AP12" s="12"/>
      <c r="AQ12" s="12"/>
      <c r="AR12" s="13"/>
      <c r="AS12" s="11"/>
      <c r="AT12" s="12"/>
      <c r="AU12" s="12"/>
      <c r="AV12" s="13"/>
      <c r="AW12" s="1"/>
      <c r="AX12" s="1"/>
      <c r="AY12" s="1"/>
      <c r="AZ12" s="1"/>
      <c r="BA12" s="1"/>
      <c r="BB12" s="1"/>
      <c r="BC12" s="1"/>
      <c r="BD12" s="1"/>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1"/>
    </row>
    <row r="13" ht="11.2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row>
    <row r="14" ht="11.2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row>
    <row r="15" ht="11.25" customHeight="1">
      <c r="A15" s="1"/>
      <c r="B15" s="1"/>
      <c r="C15" s="8" t="s">
        <v>22</v>
      </c>
      <c r="AD15" s="1"/>
      <c r="AE15" s="1"/>
      <c r="AF15" s="8" t="s">
        <v>23</v>
      </c>
      <c r="AU15" s="1"/>
      <c r="AV15" s="1"/>
      <c r="AW15" s="8" t="s">
        <v>24</v>
      </c>
      <c r="BV15" s="1"/>
      <c r="BW15" s="1"/>
      <c r="BX15" s="8" t="s">
        <v>25</v>
      </c>
      <c r="CO15" s="2"/>
      <c r="CP15" s="2"/>
    </row>
    <row r="16" ht="11.25" customHeight="1">
      <c r="A16" s="1"/>
      <c r="B16" s="1"/>
      <c r="AD16" s="1"/>
      <c r="AE16" s="1"/>
      <c r="AU16" s="1"/>
      <c r="AV16" s="1"/>
      <c r="BV16" s="1"/>
      <c r="BW16" s="1"/>
      <c r="CO16" s="2"/>
      <c r="CP16" s="2"/>
    </row>
    <row r="17" ht="11.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row>
    <row r="18" ht="11.25" customHeight="1">
      <c r="A18" s="1"/>
      <c r="B18" s="1"/>
      <c r="C18" s="15"/>
      <c r="D18" s="15"/>
      <c r="E18" s="15"/>
      <c r="F18" s="15"/>
      <c r="G18" s="15"/>
      <c r="H18" s="16" t="s">
        <v>26</v>
      </c>
      <c r="K18" s="16" t="s">
        <v>27</v>
      </c>
      <c r="N18" s="15"/>
      <c r="O18" s="16" t="s">
        <v>28</v>
      </c>
      <c r="R18" s="15"/>
      <c r="S18" s="16" t="s">
        <v>9</v>
      </c>
      <c r="V18" s="15"/>
      <c r="W18" s="16" t="s">
        <v>29</v>
      </c>
      <c r="Z18" s="15"/>
      <c r="AA18" s="16" t="s">
        <v>30</v>
      </c>
      <c r="AD18" s="15"/>
      <c r="AE18" s="15"/>
      <c r="AF18" s="16" t="s">
        <v>31</v>
      </c>
      <c r="AJ18" s="16" t="s">
        <v>12</v>
      </c>
      <c r="AM18" s="16" t="s">
        <v>32</v>
      </c>
      <c r="AP18" s="15"/>
      <c r="AQ18" s="15"/>
      <c r="AR18" s="16" t="s">
        <v>33</v>
      </c>
      <c r="AU18" s="16"/>
      <c r="AV18" s="16"/>
      <c r="AW18" s="16" t="s">
        <v>34</v>
      </c>
      <c r="BD18" s="15"/>
      <c r="BE18" s="15"/>
      <c r="BF18" s="16" t="s">
        <v>35</v>
      </c>
      <c r="BI18" s="16" t="s">
        <v>36</v>
      </c>
      <c r="BL18" s="16" t="s">
        <v>37</v>
      </c>
      <c r="BO18" s="16" t="s">
        <v>30</v>
      </c>
      <c r="BR18" s="16" t="s">
        <v>38</v>
      </c>
      <c r="BV18" s="17"/>
      <c r="BW18" s="17"/>
      <c r="BX18" s="18" t="s">
        <v>39</v>
      </c>
      <c r="CC18" s="9">
        <f>1+floor($AC$9/6)</f>
        <v>1</v>
      </c>
      <c r="CD18" s="5"/>
      <c r="CE18" s="6"/>
      <c r="CF18" s="19"/>
      <c r="CG18" s="18" t="s">
        <v>40</v>
      </c>
      <c r="CL18" s="9">
        <f>2+floor($AC$9/4)</f>
        <v>3</v>
      </c>
      <c r="CM18" s="5"/>
      <c r="CN18" s="6"/>
      <c r="CO18" s="20"/>
      <c r="CP18" s="20"/>
    </row>
    <row r="19" ht="11.25" customHeight="1">
      <c r="A19" s="1"/>
      <c r="B19" s="1"/>
      <c r="C19" s="8" t="s">
        <v>41</v>
      </c>
      <c r="H19" s="21">
        <f>FLOOR(SUM(O19,S19,W19,AA19))</f>
        <v>12</v>
      </c>
      <c r="I19" s="5"/>
      <c r="J19" s="6"/>
      <c r="K19" s="22">
        <f>FLOOR((H19-10)/2)</f>
        <v>1</v>
      </c>
      <c r="L19" s="5"/>
      <c r="M19" s="6"/>
      <c r="N19" s="1"/>
      <c r="O19" s="23">
        <v>12.0</v>
      </c>
      <c r="P19" s="5"/>
      <c r="Q19" s="6"/>
      <c r="R19" s="24"/>
      <c r="S19" s="23"/>
      <c r="T19" s="5"/>
      <c r="U19" s="6"/>
      <c r="V19" s="1"/>
      <c r="W19" s="21">
        <f>IFERROR(VLOOKUP("STR",A42:B45,2,false),0)</f>
        <v>0</v>
      </c>
      <c r="X19" s="5"/>
      <c r="Y19" s="6"/>
      <c r="Z19" s="1"/>
      <c r="AA19" s="25"/>
      <c r="AB19" s="5"/>
      <c r="AC19" s="6"/>
      <c r="AD19" s="1"/>
      <c r="AE19" s="1"/>
      <c r="AF19" s="26">
        <f>((AJ19+AM19)*AR19)+(AM22*AR22)+AJ22</f>
        <v>70</v>
      </c>
      <c r="AG19" s="5"/>
      <c r="AH19" s="5"/>
      <c r="AI19" s="6"/>
      <c r="AJ19" s="14">
        <v>10.0</v>
      </c>
      <c r="AK19" s="5"/>
      <c r="AL19" s="6"/>
      <c r="AM19" s="9">
        <f>$W$38</f>
        <v>4</v>
      </c>
      <c r="AN19" s="5"/>
      <c r="AO19" s="6"/>
      <c r="AP19" s="27" t="s">
        <v>42</v>
      </c>
      <c r="AR19" s="9">
        <f>AC9+1</f>
        <v>5</v>
      </c>
      <c r="AS19" s="5"/>
      <c r="AT19" s="6"/>
      <c r="AU19" s="20"/>
      <c r="AV19" s="20"/>
      <c r="AW19" s="18" t="s">
        <v>43</v>
      </c>
      <c r="BD19" s="20" t="s">
        <v>44</v>
      </c>
      <c r="BF19" s="26">
        <f>BI19+BL19+BO19</f>
        <v>6</v>
      </c>
      <c r="BG19" s="5"/>
      <c r="BH19" s="6"/>
      <c r="BI19" s="9">
        <f>VLookup(BD19,AbilityScores,9,false)</f>
        <v>2</v>
      </c>
      <c r="BJ19" s="5"/>
      <c r="BK19" s="6"/>
      <c r="BL19" s="9">
        <f>IF(BR19="Yes",$AC$9,0)</f>
        <v>4</v>
      </c>
      <c r="BM19" s="5"/>
      <c r="BN19" s="6"/>
      <c r="BO19" s="14"/>
      <c r="BP19" s="5"/>
      <c r="BQ19" s="6"/>
      <c r="BR19" s="14" t="s">
        <v>20</v>
      </c>
      <c r="BS19" s="5"/>
      <c r="BT19" s="5"/>
      <c r="BU19" s="6"/>
      <c r="BV19" s="1"/>
      <c r="BW19" s="1"/>
      <c r="CC19" s="11"/>
      <c r="CD19" s="12"/>
      <c r="CE19" s="13"/>
      <c r="CF19" s="19"/>
      <c r="CL19" s="11"/>
      <c r="CM19" s="12"/>
      <c r="CN19" s="13"/>
      <c r="CO19" s="19"/>
      <c r="CP19" s="19"/>
    </row>
    <row r="20" ht="11.25" customHeight="1">
      <c r="A20" s="1"/>
      <c r="B20" s="1"/>
      <c r="H20" s="11"/>
      <c r="I20" s="12"/>
      <c r="J20" s="13"/>
      <c r="K20" s="12"/>
      <c r="L20" s="12"/>
      <c r="M20" s="13"/>
      <c r="N20" s="1"/>
      <c r="O20" s="11"/>
      <c r="P20" s="12"/>
      <c r="Q20" s="13"/>
      <c r="R20" s="24"/>
      <c r="S20" s="11"/>
      <c r="T20" s="12"/>
      <c r="U20" s="13"/>
      <c r="V20" s="1"/>
      <c r="W20" s="11"/>
      <c r="X20" s="12"/>
      <c r="Y20" s="13"/>
      <c r="Z20" s="1"/>
      <c r="AA20" s="11"/>
      <c r="AB20" s="12"/>
      <c r="AC20" s="13"/>
      <c r="AD20" s="1"/>
      <c r="AE20" s="1"/>
      <c r="AF20" s="11"/>
      <c r="AG20" s="12"/>
      <c r="AH20" s="12"/>
      <c r="AI20" s="13"/>
      <c r="AJ20" s="11"/>
      <c r="AK20" s="12"/>
      <c r="AL20" s="13"/>
      <c r="AM20" s="11"/>
      <c r="AN20" s="12"/>
      <c r="AO20" s="13"/>
      <c r="AR20" s="11"/>
      <c r="AS20" s="12"/>
      <c r="AT20" s="13"/>
      <c r="AU20" s="20"/>
      <c r="AV20" s="20"/>
      <c r="BF20" s="11"/>
      <c r="BG20" s="12"/>
      <c r="BH20" s="13"/>
      <c r="BI20" s="11"/>
      <c r="BJ20" s="12"/>
      <c r="BK20" s="13"/>
      <c r="BL20" s="11"/>
      <c r="BM20" s="12"/>
      <c r="BN20" s="13"/>
      <c r="BO20" s="11"/>
      <c r="BP20" s="12"/>
      <c r="BQ20" s="13"/>
      <c r="BR20" s="11"/>
      <c r="BS20" s="12"/>
      <c r="BT20" s="12"/>
      <c r="BU20" s="13"/>
      <c r="BV20" s="1"/>
      <c r="BW20" s="1"/>
      <c r="BX20" s="18" t="s">
        <v>45</v>
      </c>
      <c r="CC20" s="9">
        <f>2+floor($AC$9/3)</f>
        <v>3</v>
      </c>
      <c r="CD20" s="5"/>
      <c r="CE20" s="6"/>
      <c r="CF20" s="18" t="s">
        <v>46</v>
      </c>
      <c r="CL20" s="9">
        <f>1+floor($AC$9/7)</f>
        <v>1</v>
      </c>
      <c r="CM20" s="5"/>
      <c r="CN20" s="6"/>
      <c r="CO20" s="19"/>
      <c r="CP20" s="19"/>
    </row>
    <row r="21" ht="11.25" customHeight="1">
      <c r="A21" s="1"/>
      <c r="B21" s="1"/>
      <c r="C21" s="28"/>
      <c r="D21" s="28"/>
      <c r="E21" s="28"/>
      <c r="F21" s="28"/>
      <c r="G21" s="28"/>
      <c r="H21" s="29"/>
      <c r="I21" s="29"/>
      <c r="J21" s="29"/>
      <c r="K21" s="29"/>
      <c r="L21" s="29"/>
      <c r="M21" s="29"/>
      <c r="N21" s="1"/>
      <c r="O21" s="30"/>
      <c r="P21" s="30"/>
      <c r="Q21" s="30"/>
      <c r="R21" s="31"/>
      <c r="S21" s="30"/>
      <c r="T21" s="30"/>
      <c r="U21" s="30"/>
      <c r="V21" s="1"/>
      <c r="W21" s="32"/>
      <c r="X21" s="32"/>
      <c r="Y21" s="32"/>
      <c r="Z21" s="1"/>
      <c r="AA21" s="30"/>
      <c r="AB21" s="30"/>
      <c r="AC21" s="30"/>
      <c r="AD21" s="1"/>
      <c r="AE21" s="1"/>
      <c r="AF21" s="1"/>
      <c r="AG21" s="1"/>
      <c r="AH21" s="1"/>
      <c r="AI21" s="1"/>
      <c r="AJ21" s="20" t="s">
        <v>30</v>
      </c>
      <c r="AM21" s="20" t="s">
        <v>47</v>
      </c>
      <c r="AP21" s="1"/>
      <c r="AQ21" s="1"/>
      <c r="AR21" s="20" t="s">
        <v>48</v>
      </c>
      <c r="AU21" s="1"/>
      <c r="AV21" s="1"/>
      <c r="AW21" s="18" t="s">
        <v>49</v>
      </c>
      <c r="BD21" s="20" t="s">
        <v>50</v>
      </c>
      <c r="BF21" s="26">
        <f>BI21+BL21+BO21</f>
        <v>5</v>
      </c>
      <c r="BG21" s="5"/>
      <c r="BH21" s="6"/>
      <c r="BI21" s="9">
        <f>VLookup(BD21,AbilityScores,9,false)</f>
        <v>1</v>
      </c>
      <c r="BJ21" s="5"/>
      <c r="BK21" s="6"/>
      <c r="BL21" s="9">
        <f>IF(BR21="Yes",$AC$9,0)</f>
        <v>4</v>
      </c>
      <c r="BM21" s="5"/>
      <c r="BN21" s="6"/>
      <c r="BO21" s="14"/>
      <c r="BP21" s="5"/>
      <c r="BQ21" s="6"/>
      <c r="BR21" s="14" t="s">
        <v>20</v>
      </c>
      <c r="BS21" s="5"/>
      <c r="BT21" s="5"/>
      <c r="BU21" s="6"/>
      <c r="BV21" s="1"/>
      <c r="BW21" s="1"/>
      <c r="CC21" s="11"/>
      <c r="CD21" s="12"/>
      <c r="CE21" s="13"/>
      <c r="CL21" s="11"/>
      <c r="CM21" s="12"/>
      <c r="CN21" s="13"/>
      <c r="CO21" s="19"/>
      <c r="CP21" s="19"/>
    </row>
    <row r="22" ht="11.25" customHeight="1">
      <c r="A22" s="1"/>
      <c r="B22" s="1"/>
      <c r="C22" s="8" t="s">
        <v>51</v>
      </c>
      <c r="H22" s="21">
        <f>FLOOR(SUM(O22,S22,W22,AA22))</f>
        <v>14</v>
      </c>
      <c r="I22" s="5"/>
      <c r="J22" s="6"/>
      <c r="K22" s="22">
        <f>FLOOR((H22-10)/2)</f>
        <v>2</v>
      </c>
      <c r="L22" s="5"/>
      <c r="M22" s="6"/>
      <c r="N22" s="1"/>
      <c r="O22" s="33">
        <v>14.0</v>
      </c>
      <c r="Q22" s="34"/>
      <c r="R22" s="24"/>
      <c r="S22" s="33"/>
      <c r="U22" s="34"/>
      <c r="V22" s="1"/>
      <c r="W22" s="35">
        <f>IFERROR(VLOOKUP("DEX",A42:B45,2,false),0)</f>
        <v>0</v>
      </c>
      <c r="Y22" s="34"/>
      <c r="Z22" s="1"/>
      <c r="AA22" s="33"/>
      <c r="AC22" s="34"/>
      <c r="AD22" s="1"/>
      <c r="AE22" s="1"/>
      <c r="AF22" s="1"/>
      <c r="AG22" s="1"/>
      <c r="AH22" s="1"/>
      <c r="AI22" s="1"/>
      <c r="AJ22" s="14">
        <v>0.0</v>
      </c>
      <c r="AK22" s="5"/>
      <c r="AL22" s="6"/>
      <c r="AM22" s="14">
        <f>IF($AC$9&gt;=10,2,0)</f>
        <v>0</v>
      </c>
      <c r="AN22" s="5"/>
      <c r="AO22" s="6"/>
      <c r="AP22" s="27" t="s">
        <v>42</v>
      </c>
      <c r="AR22" s="9">
        <f>AC9</f>
        <v>4</v>
      </c>
      <c r="AS22" s="5"/>
      <c r="AT22" s="6"/>
      <c r="AU22" s="1"/>
      <c r="AV22" s="1"/>
      <c r="BF22" s="11"/>
      <c r="BG22" s="12"/>
      <c r="BH22" s="13"/>
      <c r="BI22" s="11"/>
      <c r="BJ22" s="12"/>
      <c r="BK22" s="13"/>
      <c r="BL22" s="11"/>
      <c r="BM22" s="12"/>
      <c r="BN22" s="13"/>
      <c r="BO22" s="11"/>
      <c r="BP22" s="12"/>
      <c r="BQ22" s="13"/>
      <c r="BR22" s="11"/>
      <c r="BS22" s="12"/>
      <c r="BT22" s="12"/>
      <c r="BU22" s="13"/>
      <c r="BV22" s="1"/>
      <c r="BW22" s="1"/>
      <c r="BX22" s="18" t="s">
        <v>52</v>
      </c>
      <c r="CC22" s="9">
        <f>3+floor($AC$9/2)</f>
        <v>5</v>
      </c>
      <c r="CD22" s="5"/>
      <c r="CE22" s="6"/>
      <c r="CF22" s="19"/>
      <c r="CG22" s="19"/>
      <c r="CH22" s="1"/>
      <c r="CI22" s="1"/>
      <c r="CJ22" s="1"/>
      <c r="CK22" s="1"/>
      <c r="CL22" s="1"/>
      <c r="CM22" s="1"/>
      <c r="CN22" s="1"/>
      <c r="CO22" s="19"/>
      <c r="CP22" s="19"/>
    </row>
    <row r="23" ht="11.25" customHeight="1">
      <c r="A23" s="1"/>
      <c r="B23" s="1"/>
      <c r="H23" s="11"/>
      <c r="I23" s="12"/>
      <c r="J23" s="13"/>
      <c r="K23" s="12"/>
      <c r="L23" s="12"/>
      <c r="M23" s="13"/>
      <c r="N23" s="1"/>
      <c r="O23" s="11"/>
      <c r="P23" s="12"/>
      <c r="Q23" s="13"/>
      <c r="R23" s="24"/>
      <c r="S23" s="11"/>
      <c r="T23" s="12"/>
      <c r="U23" s="13"/>
      <c r="V23" s="1"/>
      <c r="W23" s="11"/>
      <c r="X23" s="12"/>
      <c r="Y23" s="13"/>
      <c r="Z23" s="1"/>
      <c r="AA23" s="11"/>
      <c r="AB23" s="12"/>
      <c r="AC23" s="13"/>
      <c r="AD23" s="1"/>
      <c r="AE23" s="1"/>
      <c r="AF23" s="1"/>
      <c r="AG23" s="1"/>
      <c r="AH23" s="1"/>
      <c r="AI23" s="1"/>
      <c r="AJ23" s="11"/>
      <c r="AK23" s="12"/>
      <c r="AL23" s="13"/>
      <c r="AM23" s="11"/>
      <c r="AN23" s="12"/>
      <c r="AO23" s="13"/>
      <c r="AR23" s="11"/>
      <c r="AS23" s="12"/>
      <c r="AT23" s="13"/>
      <c r="AU23" s="1"/>
      <c r="AV23" s="1"/>
      <c r="AW23" s="18" t="s">
        <v>53</v>
      </c>
      <c r="BD23" s="20" t="s">
        <v>44</v>
      </c>
      <c r="BF23" s="26">
        <f>BI23+BL23+BO23</f>
        <v>2</v>
      </c>
      <c r="BG23" s="5"/>
      <c r="BH23" s="6"/>
      <c r="BI23" s="9">
        <f>VLookup(BD23,AbilityScores,9,false)</f>
        <v>2</v>
      </c>
      <c r="BJ23" s="5"/>
      <c r="BK23" s="6"/>
      <c r="BL23" s="9">
        <f>IF(BR23="Yes",$AC$9,0)</f>
        <v>0</v>
      </c>
      <c r="BM23" s="5"/>
      <c r="BN23" s="6"/>
      <c r="BO23" s="14"/>
      <c r="BP23" s="5"/>
      <c r="BQ23" s="6"/>
      <c r="BR23" s="14" t="s">
        <v>54</v>
      </c>
      <c r="BS23" s="5"/>
      <c r="BT23" s="5"/>
      <c r="BU23" s="6"/>
      <c r="BV23" s="1"/>
      <c r="BW23" s="1"/>
      <c r="CC23" s="11"/>
      <c r="CD23" s="12"/>
      <c r="CE23" s="13"/>
      <c r="CF23" s="19"/>
      <c r="CG23" s="19"/>
      <c r="CH23" s="1"/>
      <c r="CI23" s="1"/>
      <c r="CJ23" s="1"/>
      <c r="CK23" s="1"/>
      <c r="CL23" s="1"/>
      <c r="CM23" s="1"/>
      <c r="CN23" s="1"/>
      <c r="CO23" s="1"/>
      <c r="CP23" s="1"/>
    </row>
    <row r="24" ht="11.25" customHeight="1">
      <c r="A24" s="1"/>
      <c r="B24" s="1"/>
      <c r="C24" s="28"/>
      <c r="D24" s="28"/>
      <c r="E24" s="28"/>
      <c r="F24" s="28"/>
      <c r="G24" s="28"/>
      <c r="H24" s="29"/>
      <c r="I24" s="29"/>
      <c r="J24" s="29"/>
      <c r="K24" s="29"/>
      <c r="L24" s="29"/>
      <c r="M24" s="29"/>
      <c r="N24" s="1"/>
      <c r="O24" s="30"/>
      <c r="P24" s="30"/>
      <c r="Q24" s="30"/>
      <c r="R24" s="31"/>
      <c r="S24" s="30"/>
      <c r="T24" s="30"/>
      <c r="U24" s="30"/>
      <c r="V24" s="1"/>
      <c r="W24" s="32"/>
      <c r="X24" s="32"/>
      <c r="Y24" s="32"/>
      <c r="Z24" s="1"/>
      <c r="AA24" s="30"/>
      <c r="AB24" s="30"/>
      <c r="AC24" s="30"/>
      <c r="AD24" s="1"/>
      <c r="AE24" s="1"/>
      <c r="AF24" s="1"/>
      <c r="AG24" s="1"/>
      <c r="AH24" s="1"/>
      <c r="AI24" s="1"/>
      <c r="AJ24" s="1"/>
      <c r="AK24" s="1"/>
      <c r="AL24" s="1"/>
      <c r="AM24" s="1"/>
      <c r="AN24" s="1"/>
      <c r="AO24" s="1"/>
      <c r="AP24" s="1"/>
      <c r="AQ24" s="1"/>
      <c r="AR24" s="1"/>
      <c r="AS24" s="1"/>
      <c r="AT24" s="1"/>
      <c r="AU24" s="1"/>
      <c r="AV24" s="1"/>
      <c r="BF24" s="11"/>
      <c r="BG24" s="12"/>
      <c r="BH24" s="13"/>
      <c r="BI24" s="11"/>
      <c r="BJ24" s="12"/>
      <c r="BK24" s="13"/>
      <c r="BL24" s="11"/>
      <c r="BM24" s="12"/>
      <c r="BN24" s="13"/>
      <c r="BO24" s="11"/>
      <c r="BP24" s="12"/>
      <c r="BQ24" s="13"/>
      <c r="BR24" s="11"/>
      <c r="BS24" s="12"/>
      <c r="BT24" s="12"/>
      <c r="BU24" s="13"/>
      <c r="BV24" s="1"/>
      <c r="BW24" s="1"/>
      <c r="BX24" s="18"/>
      <c r="BY24" s="18"/>
      <c r="BZ24" s="18"/>
      <c r="CA24" s="18"/>
      <c r="CB24" s="18"/>
      <c r="CC24" s="19"/>
      <c r="CD24" s="19"/>
      <c r="CE24" s="19"/>
      <c r="CF24" s="19"/>
      <c r="CG24" s="19"/>
      <c r="CH24" s="1"/>
      <c r="CI24" s="1"/>
      <c r="CJ24" s="1"/>
      <c r="CK24" s="1"/>
      <c r="CL24" s="1"/>
      <c r="CM24" s="1"/>
      <c r="CN24" s="1"/>
      <c r="CO24" s="1"/>
      <c r="CP24" s="1"/>
    </row>
    <row r="25" ht="11.25" customHeight="1">
      <c r="A25" s="1"/>
      <c r="B25" s="1"/>
      <c r="C25" s="8" t="s">
        <v>55</v>
      </c>
      <c r="H25" s="21">
        <f>FLOOR(SUM(O25,S25,W25,AA25))</f>
        <v>16</v>
      </c>
      <c r="I25" s="5"/>
      <c r="J25" s="6"/>
      <c r="K25" s="22">
        <f>FLOOR((H25-10)/2)</f>
        <v>3</v>
      </c>
      <c r="L25" s="5"/>
      <c r="M25" s="6"/>
      <c r="N25" s="1"/>
      <c r="O25" s="33">
        <v>14.0</v>
      </c>
      <c r="Q25" s="34"/>
      <c r="R25" s="24"/>
      <c r="S25" s="33">
        <v>2.0</v>
      </c>
      <c r="U25" s="34"/>
      <c r="V25" s="1"/>
      <c r="W25" s="36">
        <f>IFERROR(VLOOKUP("CON",A42:B45,2,false),0)</f>
        <v>0</v>
      </c>
      <c r="Y25" s="34"/>
      <c r="Z25" s="1"/>
      <c r="AA25" s="37"/>
      <c r="AC25" s="34"/>
      <c r="AD25" s="1"/>
      <c r="AE25" s="1"/>
      <c r="AF25" s="1"/>
      <c r="AG25" s="1"/>
      <c r="AH25" s="1"/>
      <c r="AI25" s="1"/>
      <c r="AJ25" s="1"/>
      <c r="AK25" s="1"/>
      <c r="AL25" s="1"/>
      <c r="AM25" s="1"/>
      <c r="AN25" s="1"/>
      <c r="AO25" s="1"/>
      <c r="AP25" s="1"/>
      <c r="AQ25" s="1"/>
      <c r="AR25" s="1"/>
      <c r="AS25" s="1"/>
      <c r="AT25" s="1"/>
      <c r="AU25" s="1"/>
      <c r="AV25" s="1"/>
      <c r="AW25" s="18" t="s">
        <v>56</v>
      </c>
      <c r="BD25" s="20" t="s">
        <v>44</v>
      </c>
      <c r="BF25" s="26">
        <f>BI25+BL25+BO25</f>
        <v>2</v>
      </c>
      <c r="BG25" s="5"/>
      <c r="BH25" s="6"/>
      <c r="BI25" s="9">
        <f>VLookup(BD25,AbilityScores,9,false)</f>
        <v>2</v>
      </c>
      <c r="BJ25" s="5"/>
      <c r="BK25" s="6"/>
      <c r="BL25" s="9">
        <f>IF(BR25="Yes",$AC$9,0)</f>
        <v>0</v>
      </c>
      <c r="BM25" s="5"/>
      <c r="BN25" s="6"/>
      <c r="BO25" s="14"/>
      <c r="BP25" s="5"/>
      <c r="BQ25" s="6"/>
      <c r="BR25" s="14" t="s">
        <v>54</v>
      </c>
      <c r="BS25" s="5"/>
      <c r="BT25" s="5"/>
      <c r="BU25" s="6"/>
      <c r="BV25" s="1"/>
      <c r="BW25" s="1"/>
      <c r="BX25" s="1"/>
      <c r="BY25" s="1"/>
      <c r="BZ25" s="1"/>
      <c r="CA25" s="1"/>
      <c r="CB25" s="1"/>
      <c r="CC25" s="1"/>
      <c r="CD25" s="1"/>
      <c r="CE25" s="1"/>
      <c r="CF25" s="1"/>
      <c r="CG25" s="1"/>
      <c r="CH25" s="1"/>
      <c r="CI25" s="1"/>
      <c r="CJ25" s="1"/>
      <c r="CK25" s="1"/>
      <c r="CL25" s="1"/>
      <c r="CM25" s="1"/>
      <c r="CN25" s="1"/>
      <c r="CO25" s="1"/>
      <c r="CP25" s="1"/>
    </row>
    <row r="26" ht="11.25" customHeight="1">
      <c r="A26" s="1"/>
      <c r="B26" s="1"/>
      <c r="H26" s="11"/>
      <c r="I26" s="12"/>
      <c r="J26" s="13"/>
      <c r="K26" s="12"/>
      <c r="L26" s="12"/>
      <c r="M26" s="13"/>
      <c r="N26" s="1"/>
      <c r="O26" s="11"/>
      <c r="P26" s="12"/>
      <c r="Q26" s="13"/>
      <c r="R26" s="24"/>
      <c r="S26" s="11"/>
      <c r="T26" s="12"/>
      <c r="U26" s="13"/>
      <c r="V26" s="1"/>
      <c r="W26" s="11"/>
      <c r="X26" s="12"/>
      <c r="Y26" s="13"/>
      <c r="Z26" s="1"/>
      <c r="AA26" s="11"/>
      <c r="AB26" s="12"/>
      <c r="AC26" s="13"/>
      <c r="AD26" s="1"/>
      <c r="AE26" s="1"/>
      <c r="AF26" s="8" t="s">
        <v>57</v>
      </c>
      <c r="AU26" s="1"/>
      <c r="AV26" s="1"/>
      <c r="BF26" s="11"/>
      <c r="BG26" s="12"/>
      <c r="BH26" s="13"/>
      <c r="BI26" s="11"/>
      <c r="BJ26" s="12"/>
      <c r="BK26" s="13"/>
      <c r="BL26" s="11"/>
      <c r="BM26" s="12"/>
      <c r="BN26" s="13"/>
      <c r="BO26" s="11"/>
      <c r="BP26" s="12"/>
      <c r="BQ26" s="13"/>
      <c r="BR26" s="11"/>
      <c r="BS26" s="12"/>
      <c r="BT26" s="12"/>
      <c r="BU26" s="13"/>
      <c r="BV26" s="1"/>
      <c r="BW26" s="1"/>
      <c r="BX26" s="1"/>
      <c r="BY26" s="1"/>
      <c r="BZ26" s="1"/>
      <c r="CA26" s="1"/>
      <c r="CB26" s="1"/>
      <c r="CC26" s="1"/>
      <c r="CD26" s="1"/>
      <c r="CE26" s="1"/>
      <c r="CF26" s="1"/>
      <c r="CG26" s="1"/>
      <c r="CH26" s="1"/>
      <c r="CI26" s="1"/>
      <c r="CJ26" s="1"/>
      <c r="CK26" s="1"/>
      <c r="CL26" s="1"/>
      <c r="CM26" s="1"/>
      <c r="CN26" s="1"/>
      <c r="CO26" s="1"/>
      <c r="CP26" s="1"/>
    </row>
    <row r="27" ht="11.25" customHeight="1">
      <c r="A27" s="1"/>
      <c r="B27" s="1"/>
      <c r="C27" s="28"/>
      <c r="D27" s="28"/>
      <c r="E27" s="28"/>
      <c r="F27" s="28"/>
      <c r="G27" s="28"/>
      <c r="H27" s="29"/>
      <c r="I27" s="29"/>
      <c r="J27" s="29"/>
      <c r="K27" s="29"/>
      <c r="L27" s="29"/>
      <c r="M27" s="29"/>
      <c r="N27" s="1"/>
      <c r="O27" s="30"/>
      <c r="P27" s="30"/>
      <c r="Q27" s="30"/>
      <c r="R27" s="31"/>
      <c r="S27" s="30"/>
      <c r="T27" s="30"/>
      <c r="U27" s="30"/>
      <c r="V27" s="1"/>
      <c r="W27" s="32"/>
      <c r="X27" s="32"/>
      <c r="Y27" s="32"/>
      <c r="Z27" s="1"/>
      <c r="AA27" s="30"/>
      <c r="AB27" s="30"/>
      <c r="AC27" s="30"/>
      <c r="AD27" s="1"/>
      <c r="AE27" s="1"/>
      <c r="AU27" s="1"/>
      <c r="AV27" s="1"/>
      <c r="AW27" s="18" t="s">
        <v>58</v>
      </c>
      <c r="BD27" s="20" t="s">
        <v>44</v>
      </c>
      <c r="BF27" s="26">
        <f>BI27+BL27+BO27</f>
        <v>2</v>
      </c>
      <c r="BG27" s="5"/>
      <c r="BH27" s="6"/>
      <c r="BI27" s="9">
        <f>VLookup(BD27,AbilityScores,9,false)</f>
        <v>2</v>
      </c>
      <c r="BJ27" s="5"/>
      <c r="BK27" s="6"/>
      <c r="BL27" s="9">
        <f>IF(BR27="Yes",$AC$9,0)</f>
        <v>0</v>
      </c>
      <c r="BM27" s="5"/>
      <c r="BN27" s="6"/>
      <c r="BO27" s="14"/>
      <c r="BP27" s="5"/>
      <c r="BQ27" s="6"/>
      <c r="BR27" s="14" t="s">
        <v>54</v>
      </c>
      <c r="BS27" s="5"/>
      <c r="BT27" s="5"/>
      <c r="BU27" s="6"/>
      <c r="BV27" s="1"/>
      <c r="BW27" s="1"/>
      <c r="BX27" s="1"/>
      <c r="BY27" s="1"/>
      <c r="BZ27" s="1"/>
      <c r="CA27" s="1"/>
      <c r="CB27" s="1"/>
      <c r="CC27" s="1"/>
      <c r="CD27" s="1"/>
      <c r="CE27" s="1"/>
      <c r="CF27" s="1"/>
      <c r="CG27" s="1"/>
      <c r="CH27" s="1"/>
      <c r="CI27" s="1"/>
      <c r="CJ27" s="1"/>
      <c r="CK27" s="1"/>
      <c r="CL27" s="1"/>
      <c r="CM27" s="1"/>
      <c r="CN27" s="1"/>
      <c r="CO27" s="1"/>
      <c r="CP27" s="1"/>
    </row>
    <row r="28" ht="11.25" customHeight="1">
      <c r="A28" s="1"/>
      <c r="B28" s="1"/>
      <c r="C28" s="8" t="s">
        <v>59</v>
      </c>
      <c r="H28" s="21">
        <f>FLOOR(SUM(O28,S28,W28,AA28))</f>
        <v>10</v>
      </c>
      <c r="I28" s="5"/>
      <c r="J28" s="6"/>
      <c r="K28" s="22">
        <f>FLOOR((H28-10)/2)</f>
        <v>0</v>
      </c>
      <c r="L28" s="5"/>
      <c r="M28" s="6"/>
      <c r="N28" s="1"/>
      <c r="O28" s="33">
        <v>10.0</v>
      </c>
      <c r="Q28" s="34"/>
      <c r="R28" s="24"/>
      <c r="S28" s="33"/>
      <c r="U28" s="34"/>
      <c r="V28" s="1"/>
      <c r="W28" s="36">
        <f>IFERROR(VLOOKUP("INT",A42:B45,2,false),0)</f>
        <v>0</v>
      </c>
      <c r="Y28" s="34"/>
      <c r="Z28" s="1"/>
      <c r="AA28" s="37"/>
      <c r="AC28" s="34"/>
      <c r="AD28" s="1"/>
      <c r="AE28" s="1"/>
      <c r="AF28" s="1"/>
      <c r="AG28" s="1"/>
      <c r="AH28" s="1"/>
      <c r="AI28" s="1"/>
      <c r="AJ28" s="1"/>
      <c r="AK28" s="1"/>
      <c r="AL28" s="1"/>
      <c r="AM28" s="1"/>
      <c r="AN28" s="1"/>
      <c r="AO28" s="1"/>
      <c r="AP28" s="1"/>
      <c r="AQ28" s="1"/>
      <c r="AR28" s="1"/>
      <c r="AS28" s="1"/>
      <c r="AT28" s="1"/>
      <c r="AU28" s="1"/>
      <c r="AV28" s="1"/>
      <c r="BF28" s="11"/>
      <c r="BG28" s="12"/>
      <c r="BH28" s="13"/>
      <c r="BI28" s="11"/>
      <c r="BJ28" s="12"/>
      <c r="BK28" s="13"/>
      <c r="BL28" s="11"/>
      <c r="BM28" s="12"/>
      <c r="BN28" s="13"/>
      <c r="BO28" s="11"/>
      <c r="BP28" s="12"/>
      <c r="BQ28" s="13"/>
      <c r="BR28" s="11"/>
      <c r="BS28" s="12"/>
      <c r="BT28" s="12"/>
      <c r="BU28" s="13"/>
      <c r="BV28" s="1"/>
      <c r="BW28" s="1"/>
      <c r="BX28" s="1"/>
      <c r="BY28" s="1"/>
      <c r="BZ28" s="1"/>
      <c r="CA28" s="1"/>
      <c r="CB28" s="1"/>
      <c r="CC28" s="1"/>
      <c r="CD28" s="1"/>
      <c r="CE28" s="1"/>
      <c r="CF28" s="1"/>
      <c r="CG28" s="1"/>
      <c r="CH28" s="1"/>
      <c r="CI28" s="1"/>
      <c r="CJ28" s="1"/>
      <c r="CK28" s="1"/>
      <c r="CL28" s="1"/>
      <c r="CM28" s="1"/>
      <c r="CN28" s="1"/>
      <c r="CO28" s="1"/>
      <c r="CP28" s="1"/>
    </row>
    <row r="29" ht="11.25" customHeight="1">
      <c r="A29" s="1"/>
      <c r="B29" s="1"/>
      <c r="H29" s="11"/>
      <c r="I29" s="12"/>
      <c r="J29" s="13"/>
      <c r="K29" s="12"/>
      <c r="L29" s="12"/>
      <c r="M29" s="13"/>
      <c r="N29" s="1"/>
      <c r="O29" s="11"/>
      <c r="P29" s="12"/>
      <c r="Q29" s="13"/>
      <c r="R29" s="24"/>
      <c r="S29" s="11"/>
      <c r="T29" s="12"/>
      <c r="U29" s="13"/>
      <c r="V29" s="1"/>
      <c r="W29" s="11"/>
      <c r="X29" s="12"/>
      <c r="Y29" s="13"/>
      <c r="Z29" s="1"/>
      <c r="AA29" s="11"/>
      <c r="AB29" s="12"/>
      <c r="AC29" s="13"/>
      <c r="AD29" s="1"/>
      <c r="AE29" s="1"/>
      <c r="AF29" s="15"/>
      <c r="AG29" s="15"/>
      <c r="AH29" s="15"/>
      <c r="AI29" s="16"/>
      <c r="AJ29" s="16"/>
      <c r="AK29" s="16"/>
      <c r="AL29" s="16" t="s">
        <v>35</v>
      </c>
      <c r="AO29" s="16" t="s">
        <v>28</v>
      </c>
      <c r="AR29" s="16" t="s">
        <v>30</v>
      </c>
      <c r="AU29" s="1"/>
      <c r="AV29" s="1"/>
      <c r="AW29" s="18" t="s">
        <v>60</v>
      </c>
      <c r="BD29" s="20" t="s">
        <v>61</v>
      </c>
      <c r="BF29" s="26">
        <f>BI29+BL29+BO29</f>
        <v>7</v>
      </c>
      <c r="BG29" s="5"/>
      <c r="BH29" s="6"/>
      <c r="BI29" s="9">
        <f>VLookup(BD29,AbilityScores,9,false)</f>
        <v>3</v>
      </c>
      <c r="BJ29" s="5"/>
      <c r="BK29" s="6"/>
      <c r="BL29" s="9">
        <f>IF(BR29="Yes",$AC$9,0)</f>
        <v>4</v>
      </c>
      <c r="BM29" s="5"/>
      <c r="BN29" s="6"/>
      <c r="BO29" s="14">
        <f>IF($AC$9&gt;=6,2,0)</f>
        <v>0</v>
      </c>
      <c r="BP29" s="5"/>
      <c r="BQ29" s="6"/>
      <c r="BR29" s="14" t="s">
        <v>20</v>
      </c>
      <c r="BS29" s="5"/>
      <c r="BT29" s="5"/>
      <c r="BU29" s="6"/>
      <c r="BV29" s="1"/>
      <c r="BW29" s="1"/>
      <c r="BX29" s="1"/>
      <c r="BY29" s="1"/>
      <c r="BZ29" s="1"/>
      <c r="CA29" s="1"/>
      <c r="CB29" s="1"/>
      <c r="CC29" s="1"/>
      <c r="CD29" s="1"/>
      <c r="CE29" s="1"/>
      <c r="CF29" s="1"/>
      <c r="CG29" s="1"/>
      <c r="CH29" s="1"/>
      <c r="CI29" s="1"/>
      <c r="CJ29" s="1"/>
      <c r="CK29" s="1"/>
      <c r="CL29" s="1"/>
      <c r="CM29" s="1"/>
      <c r="CN29" s="1"/>
      <c r="CO29" s="1"/>
      <c r="CP29" s="1"/>
    </row>
    <row r="30" ht="11.25" customHeight="1">
      <c r="A30" s="1"/>
      <c r="B30" s="1"/>
      <c r="C30" s="28"/>
      <c r="D30" s="28"/>
      <c r="E30" s="28"/>
      <c r="F30" s="28"/>
      <c r="G30" s="28"/>
      <c r="H30" s="29"/>
      <c r="I30" s="29"/>
      <c r="J30" s="29"/>
      <c r="K30" s="29"/>
      <c r="L30" s="29"/>
      <c r="M30" s="29"/>
      <c r="N30" s="1"/>
      <c r="O30" s="30"/>
      <c r="P30" s="30"/>
      <c r="Q30" s="30"/>
      <c r="R30" s="31"/>
      <c r="S30" s="30"/>
      <c r="T30" s="30"/>
      <c r="U30" s="30"/>
      <c r="V30" s="1"/>
      <c r="W30" s="32"/>
      <c r="X30" s="32"/>
      <c r="Y30" s="32"/>
      <c r="Z30" s="1"/>
      <c r="AA30" s="30"/>
      <c r="AB30" s="30"/>
      <c r="AC30" s="30"/>
      <c r="AD30" s="1"/>
      <c r="AE30" s="1"/>
      <c r="AF30" s="8" t="s">
        <v>62</v>
      </c>
      <c r="AL30" s="26">
        <f>AO30+AR30+AO33+AR33+AL33</f>
        <v>55</v>
      </c>
      <c r="AM30" s="5"/>
      <c r="AN30" s="6"/>
      <c r="AO30" s="18">
        <v>30.0</v>
      </c>
      <c r="AR30" s="14">
        <v>15.0</v>
      </c>
      <c r="AS30" s="5"/>
      <c r="AT30" s="6"/>
      <c r="AU30" s="1"/>
      <c r="AV30" s="1"/>
      <c r="BF30" s="11"/>
      <c r="BG30" s="12"/>
      <c r="BH30" s="13"/>
      <c r="BI30" s="11"/>
      <c r="BJ30" s="12"/>
      <c r="BK30" s="13"/>
      <c r="BL30" s="11"/>
      <c r="BM30" s="12"/>
      <c r="BN30" s="13"/>
      <c r="BO30" s="11"/>
      <c r="BP30" s="12"/>
      <c r="BQ30" s="13"/>
      <c r="BR30" s="11"/>
      <c r="BS30" s="12"/>
      <c r="BT30" s="12"/>
      <c r="BU30" s="13"/>
      <c r="BV30" s="1"/>
      <c r="BW30" s="1"/>
      <c r="BX30" s="1"/>
      <c r="BY30" s="1"/>
      <c r="BZ30" s="1"/>
      <c r="CA30" s="1"/>
      <c r="CB30" s="1"/>
      <c r="CC30" s="1"/>
      <c r="CD30" s="1"/>
      <c r="CE30" s="1"/>
      <c r="CF30" s="1"/>
      <c r="CG30" s="1"/>
      <c r="CH30" s="1"/>
      <c r="CI30" s="1"/>
      <c r="CJ30" s="1"/>
      <c r="CK30" s="1"/>
      <c r="CL30" s="1"/>
      <c r="CM30" s="1"/>
      <c r="CN30" s="1"/>
      <c r="CO30" s="1"/>
      <c r="CP30" s="1"/>
    </row>
    <row r="31" ht="11.25" customHeight="1">
      <c r="A31" s="1"/>
      <c r="B31" s="1"/>
      <c r="C31" s="8" t="s">
        <v>63</v>
      </c>
      <c r="H31" s="21">
        <f>FLOOR(SUM(O31,S31,W31,AA31))</f>
        <v>18</v>
      </c>
      <c r="I31" s="5"/>
      <c r="J31" s="6"/>
      <c r="K31" s="22">
        <f>FLOOR((H31-10)/2)</f>
        <v>4</v>
      </c>
      <c r="L31" s="5"/>
      <c r="M31" s="6"/>
      <c r="N31" s="1"/>
      <c r="O31" s="33">
        <v>16.0</v>
      </c>
      <c r="Q31" s="34"/>
      <c r="R31" s="24"/>
      <c r="S31" s="37"/>
      <c r="U31" s="34"/>
      <c r="V31" s="1"/>
      <c r="W31" s="36">
        <f>IFERROR(VLOOKUP("WIS",A42:B45,2,false),0)</f>
        <v>2</v>
      </c>
      <c r="Y31" s="34"/>
      <c r="Z31" s="1"/>
      <c r="AA31" s="37">
        <f>IF($AC$9&gt;=6,2,0)</f>
        <v>0</v>
      </c>
      <c r="AC31" s="34"/>
      <c r="AD31" s="1"/>
      <c r="AE31" s="1"/>
      <c r="AL31" s="11"/>
      <c r="AM31" s="12"/>
      <c r="AN31" s="13"/>
      <c r="AR31" s="11"/>
      <c r="AS31" s="12"/>
      <c r="AT31" s="13"/>
      <c r="AU31" s="1"/>
      <c r="AV31" s="1"/>
      <c r="AW31" s="20" t="s">
        <v>64</v>
      </c>
      <c r="BD31" s="17"/>
      <c r="BE31" s="17"/>
      <c r="BF31" s="20" t="s">
        <v>35</v>
      </c>
      <c r="BI31" s="20" t="s">
        <v>36</v>
      </c>
      <c r="BL31" s="20" t="s">
        <v>37</v>
      </c>
      <c r="BO31" s="20" t="s">
        <v>30</v>
      </c>
      <c r="BR31" s="20" t="s">
        <v>38</v>
      </c>
      <c r="BV31" s="1"/>
      <c r="BW31" s="1"/>
      <c r="BX31" s="1"/>
      <c r="BY31" s="1"/>
      <c r="BZ31" s="1"/>
      <c r="CA31" s="1"/>
      <c r="CB31" s="1"/>
      <c r="CC31" s="1"/>
      <c r="CD31" s="1"/>
      <c r="CE31" s="1"/>
      <c r="CF31" s="1"/>
      <c r="CG31" s="1"/>
      <c r="CH31" s="1"/>
      <c r="CI31" s="1"/>
      <c r="CJ31" s="1"/>
      <c r="CK31" s="1"/>
      <c r="CL31" s="1"/>
      <c r="CM31" s="1"/>
      <c r="CN31" s="1"/>
      <c r="CO31" s="1"/>
      <c r="CP31" s="1"/>
    </row>
    <row r="32" ht="11.25" customHeight="1">
      <c r="A32" s="1"/>
      <c r="B32" s="1"/>
      <c r="H32" s="11"/>
      <c r="I32" s="12"/>
      <c r="J32" s="13"/>
      <c r="K32" s="12"/>
      <c r="L32" s="12"/>
      <c r="M32" s="13"/>
      <c r="N32" s="1"/>
      <c r="O32" s="11"/>
      <c r="P32" s="12"/>
      <c r="Q32" s="13"/>
      <c r="R32" s="24"/>
      <c r="S32" s="11"/>
      <c r="T32" s="12"/>
      <c r="U32" s="13"/>
      <c r="V32" s="1"/>
      <c r="W32" s="11"/>
      <c r="X32" s="12"/>
      <c r="Y32" s="13"/>
      <c r="Z32" s="1"/>
      <c r="AA32" s="11"/>
      <c r="AB32" s="12"/>
      <c r="AC32" s="13"/>
      <c r="AD32" s="1"/>
      <c r="AE32" s="1"/>
      <c r="AF32" s="1"/>
      <c r="AG32" s="1"/>
      <c r="AH32" s="1"/>
      <c r="AI32" s="1"/>
      <c r="AJ32" s="1"/>
      <c r="AK32" s="1"/>
      <c r="AL32" s="16" t="s">
        <v>17</v>
      </c>
      <c r="AO32" s="16" t="s">
        <v>14</v>
      </c>
      <c r="AR32" s="16" t="str">
        <f>IF(COUNTIF(BA58:BA76,"Dartmuth Secret"),"Arcana","Athletics")</f>
        <v>Athletics</v>
      </c>
      <c r="AU32" s="38">
        <f>VLOOKUP(AR32,AW19:BL51,16,false)</f>
        <v>4</v>
      </c>
      <c r="AV32" s="1"/>
      <c r="AW32" s="39" t="s">
        <v>65</v>
      </c>
      <c r="BD32" s="20" t="s">
        <v>66</v>
      </c>
      <c r="BF32" s="26">
        <f>BI32+BL32+BO32</f>
        <v>0</v>
      </c>
      <c r="BG32" s="5"/>
      <c r="BH32" s="6"/>
      <c r="BI32" s="9">
        <f>VLookup(BD32,AbilityScores,9,false)</f>
        <v>0</v>
      </c>
      <c r="BJ32" s="5"/>
      <c r="BK32" s="6"/>
      <c r="BL32" s="9">
        <f>IF(BR32="Yes",$AC$9,0)</f>
        <v>0</v>
      </c>
      <c r="BM32" s="5"/>
      <c r="BN32" s="6"/>
      <c r="BO32" s="14"/>
      <c r="BP32" s="5"/>
      <c r="BQ32" s="6"/>
      <c r="BR32" s="14" t="s">
        <v>54</v>
      </c>
      <c r="BS32" s="5"/>
      <c r="BT32" s="5"/>
      <c r="BU32" s="6"/>
      <c r="BV32" s="1"/>
      <c r="BW32" s="1"/>
      <c r="BX32" s="1"/>
      <c r="BY32" s="1"/>
      <c r="BZ32" s="1"/>
      <c r="CA32" s="1"/>
      <c r="CB32" s="1"/>
      <c r="CC32" s="1"/>
      <c r="CD32" s="1"/>
      <c r="CE32" s="1"/>
      <c r="CF32" s="1"/>
      <c r="CG32" s="1"/>
      <c r="CH32" s="1"/>
      <c r="CI32" s="1"/>
      <c r="CJ32" s="1"/>
      <c r="CK32" s="1"/>
      <c r="CL32" s="1"/>
      <c r="CM32" s="1"/>
      <c r="CN32" s="1"/>
      <c r="CO32" s="1"/>
      <c r="CP32" s="1"/>
    </row>
    <row r="33" ht="11.25" customHeight="1">
      <c r="A33" s="1"/>
      <c r="B33" s="1"/>
      <c r="C33" s="28"/>
      <c r="D33" s="28"/>
      <c r="E33" s="28"/>
      <c r="F33" s="28"/>
      <c r="G33" s="28"/>
      <c r="H33" s="29"/>
      <c r="I33" s="29"/>
      <c r="J33" s="29"/>
      <c r="K33" s="29"/>
      <c r="L33" s="29"/>
      <c r="M33" s="29"/>
      <c r="N33" s="1"/>
      <c r="O33" s="30"/>
      <c r="P33" s="30"/>
      <c r="Q33" s="30"/>
      <c r="R33" s="31"/>
      <c r="S33" s="30"/>
      <c r="T33" s="30"/>
      <c r="U33" s="30"/>
      <c r="V33" s="1"/>
      <c r="W33" s="32"/>
      <c r="X33" s="32"/>
      <c r="Y33" s="32"/>
      <c r="Z33" s="1"/>
      <c r="AA33" s="30"/>
      <c r="AB33" s="30"/>
      <c r="AC33" s="30"/>
      <c r="AD33" s="1"/>
      <c r="AE33" s="1"/>
      <c r="AF33" s="1"/>
      <c r="AG33" s="1"/>
      <c r="AH33" s="1"/>
      <c r="AI33" s="1"/>
      <c r="AJ33" s="1"/>
      <c r="AK33" s="1"/>
      <c r="AL33" s="9">
        <f>SWITCH(Q11,"Small",-5,"Average",0,5)</f>
        <v>0</v>
      </c>
      <c r="AM33" s="5"/>
      <c r="AN33" s="6"/>
      <c r="AO33" s="9">
        <f>(floor((AC9+1)/3))*5</f>
        <v>5</v>
      </c>
      <c r="AP33" s="5"/>
      <c r="AQ33" s="6"/>
      <c r="AR33" s="9">
        <f>((sign($AU$32)+floor($AU$32/5))*5)</f>
        <v>5</v>
      </c>
      <c r="AS33" s="5"/>
      <c r="AT33" s="6"/>
      <c r="AU33" s="1"/>
      <c r="AV33" s="1"/>
      <c r="BF33" s="11"/>
      <c r="BG33" s="12"/>
      <c r="BH33" s="13"/>
      <c r="BI33" s="11"/>
      <c r="BJ33" s="12"/>
      <c r="BK33" s="13"/>
      <c r="BL33" s="11"/>
      <c r="BM33" s="12"/>
      <c r="BN33" s="13"/>
      <c r="BO33" s="11"/>
      <c r="BP33" s="12"/>
      <c r="BQ33" s="13"/>
      <c r="BR33" s="11"/>
      <c r="BS33" s="12"/>
      <c r="BT33" s="12"/>
      <c r="BU33" s="13"/>
      <c r="BV33" s="1"/>
      <c r="BW33" s="1"/>
      <c r="BX33" s="1"/>
      <c r="BY33" s="1"/>
      <c r="BZ33" s="1"/>
      <c r="CA33" s="1"/>
      <c r="CB33" s="1"/>
      <c r="CC33" s="1"/>
      <c r="CD33" s="1"/>
      <c r="CE33" s="1"/>
      <c r="CF33" s="1"/>
      <c r="CG33" s="1"/>
      <c r="CH33" s="1"/>
      <c r="CI33" s="1"/>
      <c r="CJ33" s="1"/>
      <c r="CK33" s="1"/>
      <c r="CL33" s="1"/>
      <c r="CM33" s="1"/>
      <c r="CN33" s="1"/>
      <c r="CO33" s="1"/>
      <c r="CP33" s="1"/>
    </row>
    <row r="34" ht="11.25" customHeight="1">
      <c r="A34" s="1"/>
      <c r="B34" s="1"/>
      <c r="C34" s="8" t="s">
        <v>67</v>
      </c>
      <c r="H34" s="21">
        <f>FLOOR(SUM(O34,S34,W34,AA34))</f>
        <v>10</v>
      </c>
      <c r="I34" s="5"/>
      <c r="J34" s="6"/>
      <c r="K34" s="22">
        <f>FLOOR((H34-10)/2)</f>
        <v>0</v>
      </c>
      <c r="L34" s="5"/>
      <c r="M34" s="6"/>
      <c r="N34" s="1"/>
      <c r="O34" s="33">
        <v>10.0</v>
      </c>
      <c r="Q34" s="34"/>
      <c r="R34" s="24"/>
      <c r="S34" s="37"/>
      <c r="U34" s="34"/>
      <c r="V34" s="1"/>
      <c r="W34" s="36">
        <f>IFERROR(VLOOKUP("CHA",A42:B45,2,false),0)</f>
        <v>0</v>
      </c>
      <c r="Y34" s="34"/>
      <c r="Z34" s="1"/>
      <c r="AA34" s="37"/>
      <c r="AC34" s="34"/>
      <c r="AD34" s="1"/>
      <c r="AE34" s="1"/>
      <c r="AF34" s="2"/>
      <c r="AG34" s="2"/>
      <c r="AH34" s="2"/>
      <c r="AI34" s="2"/>
      <c r="AJ34" s="2"/>
      <c r="AK34" s="2"/>
      <c r="AL34" s="11"/>
      <c r="AM34" s="12"/>
      <c r="AN34" s="13"/>
      <c r="AO34" s="11"/>
      <c r="AP34" s="12"/>
      <c r="AQ34" s="13"/>
      <c r="AR34" s="11"/>
      <c r="AS34" s="12"/>
      <c r="AT34" s="13"/>
      <c r="AU34" s="1"/>
      <c r="AV34" s="1"/>
      <c r="AW34" s="40" t="s">
        <v>68</v>
      </c>
      <c r="BD34" s="20" t="s">
        <v>66</v>
      </c>
      <c r="BF34" s="26">
        <f>BI34+BL34+BO34</f>
        <v>0</v>
      </c>
      <c r="BG34" s="5"/>
      <c r="BH34" s="6"/>
      <c r="BI34" s="9">
        <f>VLookup(BD34,AbilityScores,9,false)</f>
        <v>0</v>
      </c>
      <c r="BJ34" s="5"/>
      <c r="BK34" s="6"/>
      <c r="BL34" s="9">
        <f>IF(BR34="Yes",$AC$9,0)</f>
        <v>0</v>
      </c>
      <c r="BM34" s="5"/>
      <c r="BN34" s="6"/>
      <c r="BO34" s="14"/>
      <c r="BP34" s="5"/>
      <c r="BQ34" s="6"/>
      <c r="BR34" s="14" t="s">
        <v>54</v>
      </c>
      <c r="BS34" s="5"/>
      <c r="BT34" s="5"/>
      <c r="BU34" s="6"/>
      <c r="BV34" s="1"/>
      <c r="BW34" s="1"/>
      <c r="BX34" s="1"/>
      <c r="BY34" s="1"/>
      <c r="BZ34" s="1"/>
      <c r="CA34" s="1"/>
      <c r="CB34" s="1"/>
      <c r="CC34" s="1"/>
      <c r="CD34" s="1"/>
      <c r="CE34" s="1"/>
      <c r="CF34" s="1"/>
      <c r="CG34" s="1"/>
      <c r="CH34" s="1"/>
      <c r="CI34" s="1"/>
      <c r="CJ34" s="1"/>
      <c r="CK34" s="1"/>
      <c r="CL34" s="1"/>
      <c r="CM34" s="1"/>
      <c r="CN34" s="1"/>
      <c r="CO34" s="1"/>
      <c r="CP34" s="1"/>
    </row>
    <row r="35" ht="11.25" customHeight="1">
      <c r="A35" s="1"/>
      <c r="B35" s="1"/>
      <c r="H35" s="11"/>
      <c r="I35" s="12"/>
      <c r="J35" s="13"/>
      <c r="K35" s="12"/>
      <c r="L35" s="12"/>
      <c r="M35" s="13"/>
      <c r="N35" s="1"/>
      <c r="O35" s="11"/>
      <c r="P35" s="12"/>
      <c r="Q35" s="13"/>
      <c r="R35" s="24"/>
      <c r="S35" s="11"/>
      <c r="T35" s="12"/>
      <c r="U35" s="13"/>
      <c r="V35" s="1"/>
      <c r="W35" s="11"/>
      <c r="X35" s="12"/>
      <c r="Y35" s="13"/>
      <c r="Z35" s="1"/>
      <c r="AA35" s="11"/>
      <c r="AB35" s="12"/>
      <c r="AC35" s="13"/>
      <c r="AD35" s="1"/>
      <c r="AE35" s="1"/>
      <c r="AF35" s="41" t="s">
        <v>69</v>
      </c>
      <c r="AL35" s="16" t="s">
        <v>70</v>
      </c>
      <c r="AO35" s="16" t="s">
        <v>14</v>
      </c>
      <c r="AR35" s="16" t="s">
        <v>17</v>
      </c>
      <c r="AU35" s="1"/>
      <c r="AV35" s="1"/>
      <c r="BF35" s="11"/>
      <c r="BG35" s="12"/>
      <c r="BH35" s="13"/>
      <c r="BI35" s="11"/>
      <c r="BJ35" s="12"/>
      <c r="BK35" s="13"/>
      <c r="BL35" s="11"/>
      <c r="BM35" s="12"/>
      <c r="BN35" s="13"/>
      <c r="BO35" s="11"/>
      <c r="BP35" s="12"/>
      <c r="BQ35" s="13"/>
      <c r="BR35" s="11"/>
      <c r="BS35" s="12"/>
      <c r="BT35" s="12"/>
      <c r="BU35" s="13"/>
      <c r="BV35" s="1"/>
      <c r="BW35" s="1"/>
      <c r="BX35" s="1"/>
      <c r="BY35" s="1"/>
      <c r="BZ35" s="1"/>
      <c r="CA35" s="1"/>
      <c r="CB35" s="1"/>
      <c r="CC35" s="1"/>
      <c r="CD35" s="1"/>
      <c r="CE35" s="1"/>
      <c r="CF35" s="1"/>
      <c r="CG35" s="1"/>
      <c r="CH35" s="1"/>
      <c r="CI35" s="1"/>
      <c r="CJ35" s="1"/>
      <c r="CK35" s="1"/>
      <c r="CL35" s="1"/>
      <c r="CM35" s="1"/>
      <c r="CN35" s="1"/>
      <c r="CO35" s="1"/>
      <c r="CP35" s="1"/>
    </row>
    <row r="36" ht="11.2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8" t="s">
        <v>71</v>
      </c>
      <c r="AL36" s="26">
        <f>AO36+AR36</f>
        <v>5</v>
      </c>
      <c r="AM36" s="5"/>
      <c r="AN36" s="6"/>
      <c r="AO36" s="9">
        <f>5+(floor($AC$9/5)*5)</f>
        <v>5</v>
      </c>
      <c r="AP36" s="5"/>
      <c r="AQ36" s="6"/>
      <c r="AR36" s="9">
        <f>SWITCH(Q11,"Large",5,"Huge",10,0)</f>
        <v>0</v>
      </c>
      <c r="AS36" s="5"/>
      <c r="AT36" s="6"/>
      <c r="AU36" s="1"/>
      <c r="AV36" s="1"/>
      <c r="AW36" s="39" t="s">
        <v>72</v>
      </c>
      <c r="BD36" s="20" t="s">
        <v>66</v>
      </c>
      <c r="BF36" s="26">
        <f>BI36+BL36+BO36</f>
        <v>0</v>
      </c>
      <c r="BG36" s="5"/>
      <c r="BH36" s="6"/>
      <c r="BI36" s="9">
        <f>VLookup(BD36,AbilityScores,9,false)</f>
        <v>0</v>
      </c>
      <c r="BJ36" s="5"/>
      <c r="BK36" s="6"/>
      <c r="BL36" s="9">
        <f>IF(BR36="Yes",$AC$9,0)</f>
        <v>0</v>
      </c>
      <c r="BM36" s="5"/>
      <c r="BN36" s="6"/>
      <c r="BO36" s="14"/>
      <c r="BP36" s="5"/>
      <c r="BQ36" s="6"/>
      <c r="BR36" s="14" t="s">
        <v>54</v>
      </c>
      <c r="BS36" s="5"/>
      <c r="BT36" s="5"/>
      <c r="BU36" s="6"/>
      <c r="BV36" s="1"/>
      <c r="BW36" s="1"/>
      <c r="BX36" s="1"/>
      <c r="BY36" s="1"/>
      <c r="BZ36" s="1"/>
      <c r="CA36" s="1"/>
      <c r="CB36" s="1"/>
      <c r="CC36" s="1"/>
      <c r="CD36" s="1"/>
      <c r="CE36" s="1"/>
      <c r="CF36" s="1"/>
      <c r="CG36" s="1"/>
      <c r="CH36" s="1"/>
      <c r="CI36" s="1"/>
      <c r="CJ36" s="1"/>
      <c r="CK36" s="1"/>
      <c r="CL36" s="1"/>
      <c r="CM36" s="1"/>
      <c r="CN36" s="1"/>
      <c r="CO36" s="1"/>
      <c r="CP36" s="1"/>
    </row>
    <row r="37" ht="11.25" customHeight="1">
      <c r="A37" s="1"/>
      <c r="B37" s="1"/>
      <c r="C37" s="1"/>
      <c r="D37" s="1"/>
      <c r="E37" s="1"/>
      <c r="F37" s="1"/>
      <c r="G37" s="1"/>
      <c r="H37" s="20" t="s">
        <v>27</v>
      </c>
      <c r="K37" s="20" t="s">
        <v>73</v>
      </c>
      <c r="O37" s="1"/>
      <c r="P37" s="1"/>
      <c r="Q37" s="1"/>
      <c r="R37" s="1"/>
      <c r="S37" s="1"/>
      <c r="T37" s="1"/>
      <c r="U37" s="1"/>
      <c r="V37" s="1"/>
      <c r="W37" s="20" t="s">
        <v>27</v>
      </c>
      <c r="Z37" s="20" t="s">
        <v>73</v>
      </c>
      <c r="AD37" s="1"/>
      <c r="AE37" s="1"/>
      <c r="AL37" s="11"/>
      <c r="AM37" s="12"/>
      <c r="AN37" s="13"/>
      <c r="AO37" s="11"/>
      <c r="AP37" s="12"/>
      <c r="AQ37" s="13"/>
      <c r="AR37" s="11"/>
      <c r="AS37" s="12"/>
      <c r="AT37" s="13"/>
      <c r="AU37" s="1"/>
      <c r="AV37" s="1"/>
      <c r="BF37" s="11"/>
      <c r="BG37" s="12"/>
      <c r="BH37" s="13"/>
      <c r="BI37" s="11"/>
      <c r="BJ37" s="12"/>
      <c r="BK37" s="13"/>
      <c r="BL37" s="11"/>
      <c r="BM37" s="12"/>
      <c r="BN37" s="13"/>
      <c r="BO37" s="11"/>
      <c r="BP37" s="12"/>
      <c r="BQ37" s="13"/>
      <c r="BR37" s="11"/>
      <c r="BS37" s="12"/>
      <c r="BT37" s="12"/>
      <c r="BU37" s="13"/>
      <c r="BV37" s="1"/>
      <c r="BW37" s="1"/>
      <c r="BX37" s="1"/>
      <c r="BY37" s="1"/>
      <c r="BZ37" s="1"/>
      <c r="CA37" s="1"/>
      <c r="CB37" s="1"/>
      <c r="CC37" s="1"/>
      <c r="CD37" s="1"/>
      <c r="CE37" s="1"/>
      <c r="CF37" s="1"/>
      <c r="CG37" s="1"/>
      <c r="CH37" s="1"/>
      <c r="CI37" s="1"/>
      <c r="CJ37" s="1"/>
      <c r="CK37" s="1"/>
      <c r="CL37" s="1"/>
      <c r="CM37" s="1"/>
      <c r="CN37" s="1"/>
      <c r="CO37" s="1"/>
      <c r="CP37" s="1"/>
    </row>
    <row r="38" ht="11.25" customHeight="1">
      <c r="A38" s="1"/>
      <c r="B38" s="1"/>
      <c r="C38" s="8" t="s">
        <v>74</v>
      </c>
      <c r="H38" s="42">
        <f>VLOOKUP(K38,AbilityScores,9,false)</f>
        <v>3</v>
      </c>
      <c r="I38" s="5"/>
      <c r="J38" s="6"/>
      <c r="K38" s="43" t="s">
        <v>55</v>
      </c>
      <c r="L38" s="5"/>
      <c r="M38" s="5"/>
      <c r="N38" s="6"/>
      <c r="O38" s="1"/>
      <c r="P38" s="1"/>
      <c r="Q38" s="1"/>
      <c r="R38" s="8" t="s">
        <v>32</v>
      </c>
      <c r="W38" s="42">
        <f>VLOOKUP(Z38,AbilityScores,9,false)</f>
        <v>4</v>
      </c>
      <c r="X38" s="5"/>
      <c r="Y38" s="6"/>
      <c r="Z38" s="43" t="s">
        <v>63</v>
      </c>
      <c r="AA38" s="5"/>
      <c r="AB38" s="5"/>
      <c r="AC38" s="6"/>
      <c r="AD38" s="1"/>
      <c r="AE38" s="1"/>
      <c r="AF38" s="18" t="s">
        <v>75</v>
      </c>
      <c r="AL38" s="26">
        <f>25+(floor($AC$9/2)*5)</f>
        <v>35</v>
      </c>
      <c r="AM38" s="5"/>
      <c r="AN38" s="6"/>
      <c r="AO38" s="1"/>
      <c r="AP38" s="1"/>
      <c r="AQ38" s="16" t="s">
        <v>76</v>
      </c>
      <c r="AT38" s="1"/>
      <c r="AU38" s="1"/>
      <c r="AV38" s="1"/>
      <c r="AW38" s="40" t="s">
        <v>77</v>
      </c>
      <c r="BD38" s="20" t="s">
        <v>66</v>
      </c>
      <c r="BF38" s="26">
        <f>BI38+BL38+BO38</f>
        <v>0</v>
      </c>
      <c r="BG38" s="5"/>
      <c r="BH38" s="6"/>
      <c r="BI38" s="9">
        <f>VLookup(BD38,AbilityScores,9,false)</f>
        <v>0</v>
      </c>
      <c r="BJ38" s="5"/>
      <c r="BK38" s="6"/>
      <c r="BL38" s="9">
        <f>IF(BR38="Yes",$AC$9,0)</f>
        <v>0</v>
      </c>
      <c r="BM38" s="5"/>
      <c r="BN38" s="6"/>
      <c r="BO38" s="14"/>
      <c r="BP38" s="5"/>
      <c r="BQ38" s="6"/>
      <c r="BR38" s="14" t="s">
        <v>54</v>
      </c>
      <c r="BS38" s="5"/>
      <c r="BT38" s="5"/>
      <c r="BU38" s="6"/>
      <c r="BV38" s="1"/>
      <c r="BW38" s="1"/>
      <c r="BX38" s="1"/>
      <c r="BY38" s="1"/>
      <c r="BZ38" s="1"/>
      <c r="CA38" s="1"/>
      <c r="CB38" s="1"/>
      <c r="CC38" s="1"/>
      <c r="CD38" s="1"/>
      <c r="CE38" s="1"/>
      <c r="CF38" s="1"/>
      <c r="CG38" s="1"/>
      <c r="CH38" s="1"/>
      <c r="CI38" s="1"/>
      <c r="CJ38" s="1"/>
      <c r="CK38" s="1"/>
      <c r="CL38" s="1"/>
      <c r="CM38" s="1"/>
      <c r="CN38" s="1"/>
      <c r="CO38" s="1"/>
      <c r="CP38" s="1"/>
    </row>
    <row r="39" ht="11.25" customHeight="1">
      <c r="A39" s="1"/>
      <c r="B39" s="1"/>
      <c r="H39" s="11"/>
      <c r="I39" s="12"/>
      <c r="J39" s="13"/>
      <c r="K39" s="12"/>
      <c r="L39" s="12"/>
      <c r="M39" s="12"/>
      <c r="N39" s="13"/>
      <c r="O39" s="1"/>
      <c r="P39" s="1"/>
      <c r="Q39" s="1"/>
      <c r="W39" s="11"/>
      <c r="X39" s="12"/>
      <c r="Y39" s="13"/>
      <c r="Z39" s="12"/>
      <c r="AA39" s="12"/>
      <c r="AB39" s="12"/>
      <c r="AC39" s="13"/>
      <c r="AD39" s="1"/>
      <c r="AE39" s="1"/>
      <c r="AL39" s="11"/>
      <c r="AM39" s="12"/>
      <c r="AN39" s="13"/>
      <c r="AO39" s="1"/>
      <c r="AP39" s="1"/>
      <c r="AQ39" s="16" t="s">
        <v>78</v>
      </c>
      <c r="AT39" s="1"/>
      <c r="AU39" s="1"/>
      <c r="AV39" s="1"/>
      <c r="BF39" s="11"/>
      <c r="BG39" s="12"/>
      <c r="BH39" s="13"/>
      <c r="BI39" s="11"/>
      <c r="BJ39" s="12"/>
      <c r="BK39" s="13"/>
      <c r="BL39" s="11"/>
      <c r="BM39" s="12"/>
      <c r="BN39" s="13"/>
      <c r="BO39" s="11"/>
      <c r="BP39" s="12"/>
      <c r="BQ39" s="13"/>
      <c r="BR39" s="11"/>
      <c r="BS39" s="12"/>
      <c r="BT39" s="12"/>
      <c r="BU39" s="13"/>
      <c r="BV39" s="1"/>
      <c r="BW39" s="1"/>
      <c r="BX39" s="1"/>
      <c r="BY39" s="1"/>
      <c r="BZ39" s="1"/>
      <c r="CA39" s="1"/>
      <c r="CB39" s="1"/>
      <c r="CC39" s="1"/>
      <c r="CD39" s="1"/>
      <c r="CE39" s="1"/>
      <c r="CF39" s="1"/>
      <c r="CG39" s="1"/>
      <c r="CH39" s="1"/>
      <c r="CI39" s="1"/>
      <c r="CJ39" s="1"/>
      <c r="CK39" s="1"/>
      <c r="CL39" s="1"/>
      <c r="CM39" s="1"/>
      <c r="CN39" s="1"/>
      <c r="CO39" s="1"/>
      <c r="CP39" s="1"/>
    </row>
    <row r="40" ht="11.2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8" t="s">
        <v>8</v>
      </c>
      <c r="AL40" s="26">
        <f>100+(10*$AC$9)</f>
        <v>140</v>
      </c>
      <c r="AM40" s="5"/>
      <c r="AN40" s="6"/>
      <c r="AO40" s="1"/>
      <c r="AP40" s="14"/>
      <c r="AQ40" s="5"/>
      <c r="AR40" s="5"/>
      <c r="AS40" s="5"/>
      <c r="AT40" s="6"/>
      <c r="AU40" s="1"/>
      <c r="AV40" s="1"/>
      <c r="AW40" s="39" t="s">
        <v>79</v>
      </c>
      <c r="BD40" s="20" t="s">
        <v>66</v>
      </c>
      <c r="BF40" s="26">
        <f>BI40+BL40+BO40</f>
        <v>0</v>
      </c>
      <c r="BG40" s="5"/>
      <c r="BH40" s="6"/>
      <c r="BI40" s="9">
        <f>VLookup(BD40,AbilityScores,9,false)</f>
        <v>0</v>
      </c>
      <c r="BJ40" s="5"/>
      <c r="BK40" s="6"/>
      <c r="BL40" s="9">
        <f>IF(BR40="Yes",$AC$9,0)</f>
        <v>0</v>
      </c>
      <c r="BM40" s="5"/>
      <c r="BN40" s="6"/>
      <c r="BO40" s="14"/>
      <c r="BP40" s="5"/>
      <c r="BQ40" s="6"/>
      <c r="BR40" s="14" t="s">
        <v>54</v>
      </c>
      <c r="BS40" s="5"/>
      <c r="BT40" s="5"/>
      <c r="BU40" s="6"/>
      <c r="BV40" s="1"/>
      <c r="BW40" s="1"/>
      <c r="BX40" s="1"/>
      <c r="BY40" s="1"/>
      <c r="BZ40" s="1"/>
      <c r="CA40" s="1"/>
      <c r="CB40" s="1"/>
      <c r="CC40" s="1"/>
      <c r="CD40" s="1"/>
      <c r="CE40" s="1"/>
      <c r="CF40" s="1"/>
      <c r="CG40" s="1"/>
      <c r="CH40" s="1"/>
      <c r="CI40" s="1"/>
      <c r="CJ40" s="1"/>
      <c r="CK40" s="1"/>
      <c r="CL40" s="1"/>
      <c r="CM40" s="1"/>
      <c r="CN40" s="1"/>
      <c r="CO40" s="1"/>
      <c r="CP40" s="1"/>
    </row>
    <row r="41" ht="11.25" customHeight="1">
      <c r="A41" s="1"/>
      <c r="B41" s="1"/>
      <c r="C41" s="1"/>
      <c r="D41" s="1"/>
      <c r="E41" s="1"/>
      <c r="F41" s="1"/>
      <c r="G41" s="1"/>
      <c r="H41" s="1"/>
      <c r="I41" s="1"/>
      <c r="J41" s="1"/>
      <c r="K41" s="20" t="s">
        <v>80</v>
      </c>
      <c r="O41" s="1"/>
      <c r="P41" s="20" t="s">
        <v>81</v>
      </c>
      <c r="T41" s="17"/>
      <c r="U41" s="20" t="s">
        <v>82</v>
      </c>
      <c r="Y41" s="17"/>
      <c r="Z41" s="20" t="s">
        <v>83</v>
      </c>
      <c r="AD41" s="1"/>
      <c r="AE41" s="1"/>
      <c r="AL41" s="11"/>
      <c r="AM41" s="12"/>
      <c r="AN41" s="13"/>
      <c r="AO41" s="1"/>
      <c r="AP41" s="11"/>
      <c r="AQ41" s="12"/>
      <c r="AR41" s="12"/>
      <c r="AS41" s="12"/>
      <c r="AT41" s="13"/>
      <c r="AU41" s="1"/>
      <c r="AV41" s="1"/>
      <c r="BF41" s="11"/>
      <c r="BG41" s="12"/>
      <c r="BH41" s="13"/>
      <c r="BI41" s="11"/>
      <c r="BJ41" s="12"/>
      <c r="BK41" s="13"/>
      <c r="BL41" s="11"/>
      <c r="BM41" s="12"/>
      <c r="BN41" s="13"/>
      <c r="BO41" s="11"/>
      <c r="BP41" s="12"/>
      <c r="BQ41" s="13"/>
      <c r="BR41" s="11"/>
      <c r="BS41" s="12"/>
      <c r="BT41" s="12"/>
      <c r="BU41" s="13"/>
      <c r="BV41" s="1"/>
      <c r="BW41" s="1"/>
      <c r="BX41" s="1"/>
      <c r="BY41" s="1"/>
      <c r="BZ41" s="1"/>
      <c r="CA41" s="1"/>
      <c r="CB41" s="1"/>
      <c r="CC41" s="1"/>
      <c r="CD41" s="1"/>
      <c r="CE41" s="1"/>
      <c r="CF41" s="1"/>
      <c r="CG41" s="1"/>
      <c r="CH41" s="1"/>
      <c r="CI41" s="1"/>
      <c r="CJ41" s="1"/>
      <c r="CK41" s="1"/>
      <c r="CL41" s="1"/>
      <c r="CM41" s="1"/>
      <c r="CN41" s="1"/>
      <c r="CO41" s="1"/>
      <c r="CP41" s="1"/>
    </row>
    <row r="42" ht="11.25" customHeight="1">
      <c r="A42" s="38" t="str">
        <f>K42</f>
        <v>WIS</v>
      </c>
      <c r="B42" s="38">
        <f>K44</f>
        <v>2</v>
      </c>
      <c r="C42" s="8" t="s">
        <v>84</v>
      </c>
      <c r="J42" s="44"/>
      <c r="K42" s="45" t="s">
        <v>63</v>
      </c>
      <c r="L42" s="5"/>
      <c r="M42" s="5"/>
      <c r="N42" s="6"/>
      <c r="O42" s="1"/>
      <c r="P42" s="45" t="s">
        <v>55</v>
      </c>
      <c r="Q42" s="5"/>
      <c r="R42" s="5"/>
      <c r="S42" s="6"/>
      <c r="T42" s="1"/>
      <c r="U42" s="45" t="s">
        <v>51</v>
      </c>
      <c r="V42" s="5"/>
      <c r="W42" s="5"/>
      <c r="X42" s="6"/>
      <c r="Y42" s="1"/>
      <c r="Z42" s="45" t="s">
        <v>41</v>
      </c>
      <c r="AA42" s="5"/>
      <c r="AB42" s="5"/>
      <c r="AC42" s="6"/>
      <c r="AD42" s="1"/>
      <c r="AE42" s="1"/>
      <c r="AF42" s="18" t="s">
        <v>85</v>
      </c>
      <c r="AL42" s="26">
        <f>400+(40*$AC$9)</f>
        <v>560</v>
      </c>
      <c r="AM42" s="5"/>
      <c r="AN42" s="6"/>
      <c r="AO42" s="1"/>
      <c r="AP42" s="46"/>
      <c r="AQ42" s="5"/>
      <c r="AR42" s="5"/>
      <c r="AS42" s="5"/>
      <c r="AT42" s="6"/>
      <c r="AU42" s="1"/>
      <c r="AV42" s="1"/>
      <c r="AW42" s="40" t="s">
        <v>86</v>
      </c>
      <c r="BD42" s="20" t="s">
        <v>66</v>
      </c>
      <c r="BF42" s="26">
        <f>BI42+BL42+BO42</f>
        <v>0</v>
      </c>
      <c r="BG42" s="5"/>
      <c r="BH42" s="6"/>
      <c r="BI42" s="9">
        <f>VLookup(BD42,AbilityScores,9,false)</f>
        <v>0</v>
      </c>
      <c r="BJ42" s="5"/>
      <c r="BK42" s="6"/>
      <c r="BL42" s="9">
        <f>IF(BR42="Yes",$AC$9,0)</f>
        <v>0</v>
      </c>
      <c r="BM42" s="5"/>
      <c r="BN42" s="6"/>
      <c r="BO42" s="14"/>
      <c r="BP42" s="5"/>
      <c r="BQ42" s="6"/>
      <c r="BR42" s="14" t="s">
        <v>54</v>
      </c>
      <c r="BS42" s="5"/>
      <c r="BT42" s="5"/>
      <c r="BU42" s="6"/>
      <c r="BV42" s="1"/>
      <c r="BW42" s="1"/>
      <c r="BX42" s="1"/>
      <c r="BY42" s="1"/>
      <c r="BZ42" s="1"/>
      <c r="CA42" s="1"/>
      <c r="CB42" s="1"/>
      <c r="CC42" s="1"/>
      <c r="CD42" s="1"/>
      <c r="CE42" s="1"/>
      <c r="CF42" s="1"/>
      <c r="CG42" s="1"/>
      <c r="CH42" s="1"/>
      <c r="CI42" s="1"/>
      <c r="CJ42" s="1"/>
      <c r="CK42" s="1"/>
      <c r="CL42" s="1"/>
      <c r="CM42" s="1"/>
      <c r="CN42" s="1"/>
      <c r="CO42" s="1"/>
      <c r="CP42" s="1"/>
    </row>
    <row r="43" ht="11.25" customHeight="1">
      <c r="A43" s="38" t="str">
        <f>P42</f>
        <v>CON</v>
      </c>
      <c r="B43" s="38">
        <f>P44</f>
        <v>0</v>
      </c>
      <c r="J43" s="44"/>
      <c r="K43" s="11"/>
      <c r="L43" s="12"/>
      <c r="M43" s="12"/>
      <c r="N43" s="13"/>
      <c r="O43" s="1"/>
      <c r="P43" s="11"/>
      <c r="Q43" s="12"/>
      <c r="R43" s="12"/>
      <c r="S43" s="13"/>
      <c r="T43" s="1"/>
      <c r="U43" s="11"/>
      <c r="V43" s="12"/>
      <c r="W43" s="12"/>
      <c r="X43" s="13"/>
      <c r="Y43" s="1"/>
      <c r="Z43" s="11"/>
      <c r="AA43" s="12"/>
      <c r="AB43" s="12"/>
      <c r="AC43" s="13"/>
      <c r="AD43" s="1"/>
      <c r="AE43" s="1"/>
      <c r="AL43" s="11"/>
      <c r="AM43" s="12"/>
      <c r="AN43" s="13"/>
      <c r="AO43" s="1"/>
      <c r="AP43" s="11"/>
      <c r="AQ43" s="12"/>
      <c r="AR43" s="12"/>
      <c r="AS43" s="12"/>
      <c r="AT43" s="13"/>
      <c r="AU43" s="1"/>
      <c r="AV43" s="1"/>
      <c r="BF43" s="11"/>
      <c r="BG43" s="12"/>
      <c r="BH43" s="13"/>
      <c r="BI43" s="11"/>
      <c r="BJ43" s="12"/>
      <c r="BK43" s="13"/>
      <c r="BL43" s="11"/>
      <c r="BM43" s="12"/>
      <c r="BN43" s="13"/>
      <c r="BO43" s="11"/>
      <c r="BP43" s="12"/>
      <c r="BQ43" s="13"/>
      <c r="BR43" s="11"/>
      <c r="BS43" s="12"/>
      <c r="BT43" s="12"/>
      <c r="BU43" s="13"/>
      <c r="BV43" s="1"/>
      <c r="BW43" s="1"/>
      <c r="BX43" s="1"/>
      <c r="BY43" s="1"/>
      <c r="BZ43" s="1"/>
      <c r="CA43" s="1"/>
      <c r="CB43" s="1"/>
      <c r="CC43" s="1"/>
      <c r="CD43" s="1"/>
      <c r="CE43" s="1"/>
      <c r="CF43" s="1"/>
      <c r="CG43" s="1"/>
      <c r="CH43" s="1"/>
      <c r="CI43" s="1"/>
      <c r="CJ43" s="1"/>
      <c r="CK43" s="1"/>
      <c r="CL43" s="1"/>
      <c r="CM43" s="1"/>
      <c r="CN43" s="1"/>
      <c r="CO43" s="1"/>
      <c r="CP43" s="1"/>
    </row>
    <row r="44" ht="11.25" customHeight="1">
      <c r="A44" s="38" t="str">
        <f>U42</f>
        <v>DEX</v>
      </c>
      <c r="B44" s="38">
        <f>U44</f>
        <v>0</v>
      </c>
      <c r="C44" s="1"/>
      <c r="D44" s="1"/>
      <c r="E44" s="1"/>
      <c r="F44" s="1"/>
      <c r="G44" s="1"/>
      <c r="H44" s="1"/>
      <c r="I44" s="1"/>
      <c r="J44" s="1"/>
      <c r="K44" s="47">
        <f>floor((AC9+3)/5,1)*2
</f>
        <v>2</v>
      </c>
      <c r="L44" s="5"/>
      <c r="M44" s="5"/>
      <c r="N44" s="6"/>
      <c r="O44" s="1"/>
      <c r="P44" s="47">
        <f>floor((AC9-1)/4,1)*2</f>
        <v>0</v>
      </c>
      <c r="Q44" s="5"/>
      <c r="R44" s="5"/>
      <c r="S44" s="6"/>
      <c r="T44" s="1"/>
      <c r="U44" s="47">
        <f>floor((AC9-1)/6,1)*2</f>
        <v>0</v>
      </c>
      <c r="V44" s="5"/>
      <c r="W44" s="5"/>
      <c r="X44" s="6"/>
      <c r="Y44" s="1"/>
      <c r="Z44" s="47">
        <f>max(0,(floor(AC9/5)-1)*2)</f>
        <v>0</v>
      </c>
      <c r="AA44" s="5"/>
      <c r="AB44" s="5"/>
      <c r="AC44" s="6"/>
      <c r="AD44" s="1"/>
      <c r="AE44" s="1"/>
      <c r="AF44" s="18" t="s">
        <v>87</v>
      </c>
      <c r="AL44" s="26">
        <f>1000+(100*$AC$9)</f>
        <v>1400</v>
      </c>
      <c r="AM44" s="5"/>
      <c r="AN44" s="6"/>
      <c r="AO44" s="1"/>
      <c r="AP44" s="14"/>
      <c r="AQ44" s="5"/>
      <c r="AR44" s="5"/>
      <c r="AS44" s="5"/>
      <c r="AT44" s="6"/>
      <c r="AU44" s="1"/>
      <c r="AV44" s="1"/>
      <c r="AW44" s="20" t="s">
        <v>88</v>
      </c>
      <c r="BD44" s="17"/>
      <c r="BE44" s="17"/>
      <c r="BF44" s="20" t="s">
        <v>35</v>
      </c>
      <c r="BI44" s="20" t="s">
        <v>36</v>
      </c>
      <c r="BL44" s="20" t="s">
        <v>37</v>
      </c>
      <c r="BO44" s="20" t="s">
        <v>30</v>
      </c>
      <c r="BR44" s="20" t="s">
        <v>38</v>
      </c>
      <c r="BV44" s="1"/>
      <c r="BW44" s="1"/>
      <c r="BX44" s="1"/>
      <c r="BY44" s="1"/>
      <c r="BZ44" s="1"/>
      <c r="CA44" s="1"/>
      <c r="CB44" s="1"/>
      <c r="CC44" s="1"/>
      <c r="CD44" s="1"/>
      <c r="CE44" s="1"/>
      <c r="CF44" s="1"/>
      <c r="CG44" s="1"/>
      <c r="CH44" s="1"/>
      <c r="CI44" s="1"/>
      <c r="CJ44" s="1"/>
      <c r="CK44" s="1"/>
      <c r="CL44" s="1"/>
      <c r="CM44" s="1"/>
      <c r="CN44" s="1"/>
      <c r="CO44" s="1"/>
      <c r="CP44" s="1"/>
    </row>
    <row r="45" ht="11.25" customHeight="1">
      <c r="A45" s="38" t="str">
        <f>Z42</f>
        <v>STR</v>
      </c>
      <c r="B45" s="38">
        <f>Z44</f>
        <v>0</v>
      </c>
      <c r="C45" s="1"/>
      <c r="D45" s="1"/>
      <c r="E45" s="1"/>
      <c r="F45" s="1"/>
      <c r="G45" s="1"/>
      <c r="H45" s="1"/>
      <c r="I45" s="1"/>
      <c r="J45" s="1"/>
      <c r="K45" s="11"/>
      <c r="L45" s="12"/>
      <c r="M45" s="12"/>
      <c r="N45" s="13"/>
      <c r="O45" s="1"/>
      <c r="P45" s="11"/>
      <c r="Q45" s="12"/>
      <c r="R45" s="12"/>
      <c r="S45" s="13"/>
      <c r="T45" s="1"/>
      <c r="U45" s="11"/>
      <c r="V45" s="12"/>
      <c r="W45" s="12"/>
      <c r="X45" s="13"/>
      <c r="Y45" s="1"/>
      <c r="Z45" s="11"/>
      <c r="AA45" s="12"/>
      <c r="AB45" s="12"/>
      <c r="AC45" s="13"/>
      <c r="AD45" s="1"/>
      <c r="AE45" s="1"/>
      <c r="AL45" s="11"/>
      <c r="AM45" s="12"/>
      <c r="AN45" s="13"/>
      <c r="AO45" s="1"/>
      <c r="AP45" s="11"/>
      <c r="AQ45" s="12"/>
      <c r="AR45" s="12"/>
      <c r="AS45" s="12"/>
      <c r="AT45" s="13"/>
      <c r="AU45" s="1"/>
      <c r="AV45" s="1"/>
      <c r="AW45" s="18" t="s">
        <v>89</v>
      </c>
      <c r="BD45" s="20" t="s">
        <v>90</v>
      </c>
      <c r="BF45" s="26">
        <f>BI45+BL45+BO45</f>
        <v>0</v>
      </c>
      <c r="BG45" s="5"/>
      <c r="BH45" s="6"/>
      <c r="BI45" s="9">
        <f>VLookup(BD45,AbilityScores,9,false)</f>
        <v>0</v>
      </c>
      <c r="BJ45" s="5"/>
      <c r="BK45" s="6"/>
      <c r="BL45" s="9">
        <f>IF(BR45="Yes",$AC$9,0)</f>
        <v>0</v>
      </c>
      <c r="BM45" s="5"/>
      <c r="BN45" s="6"/>
      <c r="BO45" s="14"/>
      <c r="BP45" s="5"/>
      <c r="BQ45" s="6"/>
      <c r="BR45" s="14" t="s">
        <v>54</v>
      </c>
      <c r="BS45" s="5"/>
      <c r="BT45" s="5"/>
      <c r="BU45" s="6"/>
      <c r="BV45" s="1"/>
      <c r="BW45" s="1"/>
      <c r="BX45" s="1"/>
      <c r="BY45" s="1"/>
      <c r="BZ45" s="1"/>
      <c r="CA45" s="1"/>
      <c r="CB45" s="1"/>
      <c r="CC45" s="1"/>
      <c r="CD45" s="1"/>
      <c r="CE45" s="1"/>
      <c r="CF45" s="1"/>
      <c r="CG45" s="1"/>
      <c r="CH45" s="1"/>
      <c r="CI45" s="1"/>
      <c r="CJ45" s="1"/>
      <c r="CK45" s="1"/>
      <c r="CL45" s="1"/>
      <c r="CM45" s="1"/>
      <c r="CN45" s="1"/>
      <c r="CO45" s="1"/>
      <c r="CP45" s="1"/>
    </row>
    <row r="46" ht="11.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BF46" s="11"/>
      <c r="BG46" s="12"/>
      <c r="BH46" s="13"/>
      <c r="BI46" s="11"/>
      <c r="BJ46" s="12"/>
      <c r="BK46" s="13"/>
      <c r="BL46" s="11"/>
      <c r="BM46" s="12"/>
      <c r="BN46" s="13"/>
      <c r="BO46" s="11"/>
      <c r="BP46" s="12"/>
      <c r="BQ46" s="13"/>
      <c r="BR46" s="11"/>
      <c r="BS46" s="12"/>
      <c r="BT46" s="12"/>
      <c r="BU46" s="13"/>
      <c r="BV46" s="1"/>
      <c r="BW46" s="1"/>
      <c r="BX46" s="1"/>
      <c r="BY46" s="1"/>
      <c r="BZ46" s="1"/>
      <c r="CA46" s="1"/>
      <c r="CB46" s="1"/>
      <c r="CC46" s="1"/>
      <c r="CD46" s="1"/>
      <c r="CE46" s="1"/>
      <c r="CF46" s="1"/>
      <c r="CG46" s="1"/>
      <c r="CH46" s="1"/>
      <c r="CI46" s="1"/>
      <c r="CJ46" s="1"/>
      <c r="CK46" s="1"/>
      <c r="CL46" s="1"/>
      <c r="CM46" s="1"/>
      <c r="CN46" s="1"/>
      <c r="CO46" s="1"/>
      <c r="CP46" s="1"/>
    </row>
    <row r="47" ht="11.25" customHeight="1">
      <c r="A47" s="1"/>
      <c r="B47" s="1"/>
      <c r="C47" s="4" t="s">
        <v>91</v>
      </c>
      <c r="D47" s="5"/>
      <c r="E47" s="5"/>
      <c r="F47" s="5"/>
      <c r="G47" s="6"/>
      <c r="H47" s="42">
        <f>if(K47="Good",AC9,floor(AC9*3/4))</f>
        <v>4</v>
      </c>
      <c r="I47" s="5"/>
      <c r="J47" s="6"/>
      <c r="K47" s="14" t="s">
        <v>92</v>
      </c>
      <c r="L47" s="5"/>
      <c r="M47" s="5"/>
      <c r="N47" s="6"/>
      <c r="O47" s="1"/>
      <c r="P47" s="9" t="str">
        <f>CONCATENATE(H47,If(H47&gt;5,CONCATENATE(" / ",(H47-5)),""),If(H47&gt;10,CONCATENATE(" / ",(H47-5)),""),If(H47&gt;15,CONCATENATE(" / ",(H47-5)),""))</f>
        <v>4</v>
      </c>
      <c r="Q47" s="5"/>
      <c r="R47" s="5"/>
      <c r="S47" s="5"/>
      <c r="T47" s="5"/>
      <c r="U47" s="5"/>
      <c r="V47" s="5"/>
      <c r="W47" s="5"/>
      <c r="X47" s="5"/>
      <c r="Y47" s="5"/>
      <c r="Z47" s="5"/>
      <c r="AA47" s="5"/>
      <c r="AB47" s="5"/>
      <c r="AC47" s="6"/>
      <c r="AD47" s="1"/>
      <c r="AE47" s="1"/>
      <c r="AF47" s="16" t="s">
        <v>93</v>
      </c>
      <c r="AP47" s="1"/>
      <c r="AQ47" s="16" t="s">
        <v>70</v>
      </c>
      <c r="AU47" s="1"/>
      <c r="AV47" s="1"/>
      <c r="AW47" s="18" t="s">
        <v>94</v>
      </c>
      <c r="BD47" s="20" t="s">
        <v>90</v>
      </c>
      <c r="BF47" s="26">
        <f>BI47+BL47+BO47</f>
        <v>0</v>
      </c>
      <c r="BG47" s="5"/>
      <c r="BH47" s="6"/>
      <c r="BI47" s="9">
        <f>VLookup(BD47,AbilityScores,9,false)</f>
        <v>0</v>
      </c>
      <c r="BJ47" s="5"/>
      <c r="BK47" s="6"/>
      <c r="BL47" s="9">
        <f>IF(BR47="Yes",$AC$9,0)</f>
        <v>0</v>
      </c>
      <c r="BM47" s="5"/>
      <c r="BN47" s="6"/>
      <c r="BO47" s="14"/>
      <c r="BP47" s="5"/>
      <c r="BQ47" s="6"/>
      <c r="BR47" s="14" t="s">
        <v>54</v>
      </c>
      <c r="BS47" s="5"/>
      <c r="BT47" s="5"/>
      <c r="BU47" s="6"/>
      <c r="BV47" s="1"/>
      <c r="BW47" s="1"/>
      <c r="BX47" s="1"/>
      <c r="BY47" s="1"/>
      <c r="BZ47" s="1"/>
      <c r="CA47" s="1"/>
      <c r="CB47" s="1"/>
      <c r="CC47" s="1"/>
      <c r="CD47" s="1"/>
      <c r="CE47" s="1"/>
      <c r="CF47" s="1"/>
      <c r="CG47" s="1"/>
      <c r="CH47" s="1"/>
      <c r="CI47" s="1"/>
      <c r="CJ47" s="1"/>
      <c r="CK47" s="1"/>
      <c r="CL47" s="1"/>
      <c r="CM47" s="1"/>
      <c r="CN47" s="1"/>
      <c r="CO47" s="1"/>
      <c r="CP47" s="1"/>
    </row>
    <row r="48" ht="11.25" customHeight="1">
      <c r="A48" s="1"/>
      <c r="B48" s="1"/>
      <c r="C48" s="11"/>
      <c r="D48" s="12"/>
      <c r="E48" s="12"/>
      <c r="F48" s="12"/>
      <c r="G48" s="13"/>
      <c r="H48" s="11"/>
      <c r="I48" s="12"/>
      <c r="J48" s="13"/>
      <c r="K48" s="11"/>
      <c r="L48" s="12"/>
      <c r="M48" s="12"/>
      <c r="N48" s="13"/>
      <c r="O48" s="1"/>
      <c r="P48" s="11"/>
      <c r="Q48" s="12"/>
      <c r="R48" s="12"/>
      <c r="S48" s="12"/>
      <c r="T48" s="12"/>
      <c r="U48" s="12"/>
      <c r="V48" s="12"/>
      <c r="W48" s="12"/>
      <c r="X48" s="12"/>
      <c r="Y48" s="12"/>
      <c r="Z48" s="12"/>
      <c r="AA48" s="12"/>
      <c r="AB48" s="12"/>
      <c r="AC48" s="13"/>
      <c r="AD48" s="1"/>
      <c r="AE48" s="1"/>
      <c r="AF48" s="14" t="s">
        <v>95</v>
      </c>
      <c r="AG48" s="5"/>
      <c r="AH48" s="5"/>
      <c r="AI48" s="5"/>
      <c r="AJ48" s="5"/>
      <c r="AK48" s="5"/>
      <c r="AL48" s="5"/>
      <c r="AM48" s="5"/>
      <c r="AN48" s="5"/>
      <c r="AO48" s="6"/>
      <c r="AP48" s="1"/>
      <c r="AQ48" s="46"/>
      <c r="AR48" s="5"/>
      <c r="AS48" s="5"/>
      <c r="AT48" s="6"/>
      <c r="AU48" s="1"/>
      <c r="AV48" s="1"/>
      <c r="BF48" s="11"/>
      <c r="BG48" s="12"/>
      <c r="BH48" s="13"/>
      <c r="BI48" s="11"/>
      <c r="BJ48" s="12"/>
      <c r="BK48" s="13"/>
      <c r="BL48" s="11"/>
      <c r="BM48" s="12"/>
      <c r="BN48" s="13"/>
      <c r="BO48" s="11"/>
      <c r="BP48" s="12"/>
      <c r="BQ48" s="13"/>
      <c r="BR48" s="11"/>
      <c r="BS48" s="12"/>
      <c r="BT48" s="12"/>
      <c r="BU48" s="13"/>
      <c r="BV48" s="1"/>
      <c r="BW48" s="1"/>
      <c r="BX48" s="1"/>
      <c r="BY48" s="1"/>
      <c r="BZ48" s="1"/>
      <c r="CA48" s="1"/>
      <c r="CB48" s="1"/>
      <c r="CC48" s="1"/>
      <c r="CD48" s="1"/>
      <c r="CE48" s="1"/>
      <c r="CF48" s="1"/>
      <c r="CG48" s="1"/>
      <c r="CH48" s="1"/>
      <c r="CI48" s="1"/>
      <c r="CJ48" s="1"/>
      <c r="CK48" s="1"/>
      <c r="CL48" s="1"/>
      <c r="CM48" s="1"/>
      <c r="CN48" s="1"/>
      <c r="CO48" s="1"/>
      <c r="CP48" s="1"/>
    </row>
    <row r="49" ht="11.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1"/>
      <c r="AG49" s="12"/>
      <c r="AH49" s="12"/>
      <c r="AI49" s="12"/>
      <c r="AJ49" s="12"/>
      <c r="AK49" s="12"/>
      <c r="AL49" s="12"/>
      <c r="AM49" s="12"/>
      <c r="AN49" s="12"/>
      <c r="AO49" s="13"/>
      <c r="AP49" s="1"/>
      <c r="AQ49" s="11"/>
      <c r="AR49" s="12"/>
      <c r="AS49" s="12"/>
      <c r="AT49" s="13"/>
      <c r="AU49" s="1"/>
      <c r="AV49" s="1"/>
      <c r="AW49" s="18" t="s">
        <v>96</v>
      </c>
      <c r="BD49" s="20" t="str">
        <f>IF(COUNTIF(BA58:BA76,"Skill Flexibility"),"Wis",IF(COUNTIF(BA58:BA76,"Sinister Sinews"),"Str","Cha"))</f>
        <v>Wis</v>
      </c>
      <c r="BF49" s="26">
        <f>BI49+BL49+BO49</f>
        <v>8</v>
      </c>
      <c r="BG49" s="5"/>
      <c r="BH49" s="6"/>
      <c r="BI49" s="9">
        <f>VLookup(BD49,AbilityScores,9,false)</f>
        <v>4</v>
      </c>
      <c r="BJ49" s="5"/>
      <c r="BK49" s="6"/>
      <c r="BL49" s="9">
        <f>IF(BR49="Yes",$AC$9,0)</f>
        <v>4</v>
      </c>
      <c r="BM49" s="5"/>
      <c r="BN49" s="6"/>
      <c r="BO49" s="14">
        <f>IF($AC$9&gt;=6,2,0)</f>
        <v>0</v>
      </c>
      <c r="BP49" s="5"/>
      <c r="BQ49" s="6"/>
      <c r="BR49" s="14" t="s">
        <v>20</v>
      </c>
      <c r="BS49" s="5"/>
      <c r="BT49" s="5"/>
      <c r="BU49" s="6"/>
      <c r="BV49" s="1"/>
      <c r="BW49" s="1"/>
      <c r="BX49" s="1"/>
      <c r="BY49" s="1"/>
      <c r="BZ49" s="1"/>
      <c r="CA49" s="1"/>
      <c r="CB49" s="1"/>
      <c r="CC49" s="1"/>
      <c r="CD49" s="1"/>
      <c r="CE49" s="1"/>
      <c r="CF49" s="1"/>
      <c r="CG49" s="1"/>
      <c r="CH49" s="1"/>
      <c r="CI49" s="1"/>
      <c r="CJ49" s="1"/>
      <c r="CK49" s="1"/>
      <c r="CL49" s="1"/>
      <c r="CM49" s="1"/>
      <c r="CN49" s="1"/>
      <c r="CO49" s="1"/>
      <c r="CP49" s="1"/>
    </row>
    <row r="50" ht="11.2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4" t="s">
        <v>97</v>
      </c>
      <c r="AG50" s="5"/>
      <c r="AH50" s="5"/>
      <c r="AI50" s="5"/>
      <c r="AJ50" s="5"/>
      <c r="AK50" s="5"/>
      <c r="AL50" s="5"/>
      <c r="AM50" s="5"/>
      <c r="AN50" s="5"/>
      <c r="AO50" s="6"/>
      <c r="AP50" s="1"/>
      <c r="AQ50" s="14">
        <v>45.0</v>
      </c>
      <c r="AR50" s="5"/>
      <c r="AS50" s="5"/>
      <c r="AT50" s="6"/>
      <c r="AU50" s="1"/>
      <c r="AV50" s="1"/>
      <c r="BF50" s="11"/>
      <c r="BG50" s="12"/>
      <c r="BH50" s="13"/>
      <c r="BI50" s="11"/>
      <c r="BJ50" s="12"/>
      <c r="BK50" s="13"/>
      <c r="BL50" s="11"/>
      <c r="BM50" s="12"/>
      <c r="BN50" s="13"/>
      <c r="BO50" s="11"/>
      <c r="BP50" s="12"/>
      <c r="BQ50" s="13"/>
      <c r="BR50" s="11"/>
      <c r="BS50" s="12"/>
      <c r="BT50" s="12"/>
      <c r="BU50" s="13"/>
      <c r="BV50" s="1"/>
      <c r="BW50" s="1"/>
      <c r="BX50" s="1"/>
      <c r="BY50" s="1"/>
      <c r="BZ50" s="1"/>
      <c r="CA50" s="1"/>
      <c r="CB50" s="1"/>
      <c r="CC50" s="1"/>
      <c r="CD50" s="1"/>
      <c r="CE50" s="1"/>
      <c r="CF50" s="1"/>
      <c r="CG50" s="1"/>
      <c r="CH50" s="1"/>
      <c r="CI50" s="1"/>
      <c r="CJ50" s="1"/>
      <c r="CK50" s="1"/>
      <c r="CL50" s="1"/>
      <c r="CM50" s="1"/>
      <c r="CN50" s="1"/>
      <c r="CO50" s="1"/>
      <c r="CP50" s="1"/>
    </row>
    <row r="51" ht="11.25" customHeight="1">
      <c r="A51" s="1"/>
      <c r="B51" s="1"/>
      <c r="C51" s="8" t="s">
        <v>98</v>
      </c>
      <c r="AD51" s="1"/>
      <c r="AE51" s="1"/>
      <c r="AF51" s="11"/>
      <c r="AG51" s="12"/>
      <c r="AH51" s="12"/>
      <c r="AI51" s="12"/>
      <c r="AJ51" s="12"/>
      <c r="AK51" s="12"/>
      <c r="AL51" s="12"/>
      <c r="AM51" s="12"/>
      <c r="AN51" s="12"/>
      <c r="AO51" s="13"/>
      <c r="AP51" s="1"/>
      <c r="AQ51" s="11"/>
      <c r="AR51" s="12"/>
      <c r="AS51" s="12"/>
      <c r="AT51" s="13"/>
      <c r="AU51" s="1"/>
      <c r="AV51" s="1"/>
      <c r="AW51" s="18" t="s">
        <v>99</v>
      </c>
      <c r="BD51" s="20" t="s">
        <v>100</v>
      </c>
      <c r="BF51" s="26">
        <f>BI51+BL51+BO51</f>
        <v>10</v>
      </c>
      <c r="BG51" s="5"/>
      <c r="BH51" s="6"/>
      <c r="BI51" s="9">
        <f>VLookup(BD51,AbilityScores,9,false)</f>
        <v>4</v>
      </c>
      <c r="BJ51" s="5"/>
      <c r="BK51" s="6"/>
      <c r="BL51" s="9">
        <f>IF(BR51="Yes",$AC$9,0)</f>
        <v>4</v>
      </c>
      <c r="BM51" s="5"/>
      <c r="BN51" s="6"/>
      <c r="BO51" s="14">
        <f>2+IF($AC$9&gt;=9,2,0)</f>
        <v>2</v>
      </c>
      <c r="BP51" s="5"/>
      <c r="BQ51" s="6"/>
      <c r="BR51" s="14" t="s">
        <v>20</v>
      </c>
      <c r="BS51" s="5"/>
      <c r="BT51" s="5"/>
      <c r="BU51" s="6"/>
      <c r="BV51" s="1"/>
      <c r="BW51" s="1"/>
      <c r="BX51" s="48" t="s">
        <v>101</v>
      </c>
      <c r="BY51" s="5"/>
      <c r="BZ51" s="5"/>
      <c r="CA51" s="5"/>
      <c r="CB51" s="5"/>
      <c r="CC51" s="5"/>
      <c r="CD51" s="5"/>
      <c r="CE51" s="5"/>
      <c r="CF51" s="5"/>
      <c r="CG51" s="5"/>
      <c r="CH51" s="5"/>
      <c r="CI51" s="5"/>
      <c r="CJ51" s="5"/>
      <c r="CK51" s="5"/>
      <c r="CL51" s="5"/>
      <c r="CM51" s="5"/>
      <c r="CN51" s="6"/>
      <c r="CO51" s="1"/>
      <c r="CP51" s="1"/>
    </row>
    <row r="52" ht="11.25" customHeight="1">
      <c r="A52" s="1"/>
      <c r="B52" s="1"/>
      <c r="AD52" s="1"/>
      <c r="AE52" s="1"/>
      <c r="AF52" s="46"/>
      <c r="AG52" s="5"/>
      <c r="AH52" s="5"/>
      <c r="AI52" s="5"/>
      <c r="AJ52" s="5"/>
      <c r="AK52" s="5"/>
      <c r="AL52" s="5"/>
      <c r="AM52" s="5"/>
      <c r="AN52" s="5"/>
      <c r="AO52" s="6"/>
      <c r="AP52" s="1"/>
      <c r="AQ52" s="46"/>
      <c r="AR52" s="5"/>
      <c r="AS52" s="5"/>
      <c r="AT52" s="6"/>
      <c r="AU52" s="1"/>
      <c r="AV52" s="1"/>
      <c r="BF52" s="11"/>
      <c r="BG52" s="12"/>
      <c r="BH52" s="13"/>
      <c r="BI52" s="11"/>
      <c r="BJ52" s="12"/>
      <c r="BK52" s="13"/>
      <c r="BL52" s="11"/>
      <c r="BM52" s="12"/>
      <c r="BN52" s="13"/>
      <c r="BO52" s="11"/>
      <c r="BP52" s="12"/>
      <c r="BQ52" s="13"/>
      <c r="BR52" s="11"/>
      <c r="BS52" s="12"/>
      <c r="BT52" s="12"/>
      <c r="BU52" s="13"/>
      <c r="BV52" s="1"/>
      <c r="BW52" s="1"/>
      <c r="BX52" s="11"/>
      <c r="BY52" s="12"/>
      <c r="BZ52" s="12"/>
      <c r="CA52" s="12"/>
      <c r="CB52" s="12"/>
      <c r="CC52" s="12"/>
      <c r="CD52" s="12"/>
      <c r="CE52" s="12"/>
      <c r="CF52" s="12"/>
      <c r="CG52" s="12"/>
      <c r="CH52" s="12"/>
      <c r="CI52" s="12"/>
      <c r="CJ52" s="12"/>
      <c r="CK52" s="12"/>
      <c r="CL52" s="12"/>
      <c r="CM52" s="12"/>
      <c r="CN52" s="13"/>
      <c r="CO52" s="1"/>
      <c r="CP52" s="1"/>
    </row>
    <row r="53" ht="11.25" customHeight="1">
      <c r="A53" s="1"/>
      <c r="B53" s="1"/>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1"/>
      <c r="AE53" s="1"/>
      <c r="AF53" s="11"/>
      <c r="AG53" s="12"/>
      <c r="AH53" s="12"/>
      <c r="AI53" s="12"/>
      <c r="AJ53" s="12"/>
      <c r="AK53" s="12"/>
      <c r="AL53" s="12"/>
      <c r="AM53" s="12"/>
      <c r="AN53" s="12"/>
      <c r="AO53" s="13"/>
      <c r="AP53" s="1"/>
      <c r="AQ53" s="11"/>
      <c r="AR53" s="12"/>
      <c r="AS53" s="12"/>
      <c r="AT53" s="13"/>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50"/>
      <c r="BY53" s="50"/>
      <c r="BZ53" s="50"/>
      <c r="CA53" s="50"/>
      <c r="CB53" s="50"/>
      <c r="CC53" s="50"/>
      <c r="CD53" s="50"/>
      <c r="CE53" s="50"/>
      <c r="CF53" s="50"/>
      <c r="CG53" s="50"/>
      <c r="CH53" s="50"/>
      <c r="CI53" s="50"/>
      <c r="CJ53" s="50"/>
      <c r="CK53" s="50"/>
      <c r="CL53" s="50"/>
      <c r="CM53" s="50"/>
      <c r="CN53" s="50"/>
      <c r="CO53" s="1"/>
      <c r="CP53" s="1"/>
    </row>
    <row r="54" ht="11.25" customHeight="1">
      <c r="A54" s="1"/>
      <c r="B54" s="1"/>
      <c r="C54" s="16"/>
      <c r="D54" s="16"/>
      <c r="E54" s="15"/>
      <c r="F54" s="15"/>
      <c r="G54" s="15"/>
      <c r="H54" s="15"/>
      <c r="I54" s="15"/>
      <c r="J54" s="15"/>
      <c r="K54" s="15"/>
      <c r="L54" s="15"/>
      <c r="M54" s="15"/>
      <c r="N54" s="15"/>
      <c r="O54" s="15"/>
      <c r="P54" s="15"/>
      <c r="Q54" s="16" t="s">
        <v>102</v>
      </c>
      <c r="T54" s="16" t="s">
        <v>103</v>
      </c>
      <c r="W54" s="16" t="s">
        <v>30</v>
      </c>
      <c r="Z54" s="2"/>
      <c r="AA54" s="2"/>
      <c r="AB54" s="2"/>
      <c r="AC54" s="2"/>
      <c r="AD54" s="1"/>
      <c r="AE54" s="1"/>
      <c r="AF54" s="46"/>
      <c r="AG54" s="5"/>
      <c r="AH54" s="5"/>
      <c r="AI54" s="5"/>
      <c r="AJ54" s="5"/>
      <c r="AK54" s="5"/>
      <c r="AL54" s="5"/>
      <c r="AM54" s="5"/>
      <c r="AN54" s="5"/>
      <c r="AO54" s="6"/>
      <c r="AP54" s="1"/>
      <c r="AQ54" s="46"/>
      <c r="AR54" s="5"/>
      <c r="AS54" s="5"/>
      <c r="AT54" s="6"/>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50" t="s">
        <v>104</v>
      </c>
      <c r="CJ54" s="51" t="str">
        <f>IF(BL21&gt;=15,"All",IF(BL21&gt;=5,"Hot/Cold","N/A"))</f>
        <v>N/A</v>
      </c>
      <c r="CK54" s="5"/>
      <c r="CL54" s="5"/>
      <c r="CM54" s="5"/>
      <c r="CN54" s="6"/>
      <c r="CO54" s="1"/>
      <c r="CP54" s="1"/>
    </row>
    <row r="55" ht="11.25" customHeight="1">
      <c r="A55" s="1"/>
      <c r="B55" s="1"/>
      <c r="C55" s="4" t="s">
        <v>105</v>
      </c>
      <c r="D55" s="5"/>
      <c r="E55" s="5"/>
      <c r="F55" s="5"/>
      <c r="G55" s="5"/>
      <c r="H55" s="5"/>
      <c r="I55" s="5"/>
      <c r="J55" s="5"/>
      <c r="K55" s="6"/>
      <c r="L55" s="26">
        <f>10+Q55+T55+W55</f>
        <v>14</v>
      </c>
      <c r="M55" s="5"/>
      <c r="N55" s="6"/>
      <c r="O55" s="18">
        <v>10.0</v>
      </c>
      <c r="Q55" s="47">
        <f>floor($AC$9/2)</f>
        <v>2</v>
      </c>
      <c r="R55" s="5"/>
      <c r="S55" s="6"/>
      <c r="T55" s="9">
        <f>max(VLookup("STR",AbilityScores,9,false),VLookup("DEX",AbilityScores,9,false))</f>
        <v>2</v>
      </c>
      <c r="U55" s="5"/>
      <c r="V55" s="6"/>
      <c r="W55" s="46"/>
      <c r="X55" s="5"/>
      <c r="Y55" s="6"/>
      <c r="Z55" s="2"/>
      <c r="AA55" s="2"/>
      <c r="AB55" s="2"/>
      <c r="AC55" s="2"/>
      <c r="AD55" s="1"/>
      <c r="AE55" s="1"/>
      <c r="AF55" s="11"/>
      <c r="AG55" s="12"/>
      <c r="AH55" s="12"/>
      <c r="AI55" s="12"/>
      <c r="AJ55" s="12"/>
      <c r="AK55" s="12"/>
      <c r="AL55" s="12"/>
      <c r="AM55" s="12"/>
      <c r="AN55" s="12"/>
      <c r="AO55" s="13"/>
      <c r="AP55" s="1"/>
      <c r="AQ55" s="11"/>
      <c r="AR55" s="12"/>
      <c r="AS55" s="12"/>
      <c r="AT55" s="13"/>
      <c r="AU55" s="1"/>
      <c r="AV55" s="1"/>
      <c r="AW55" s="8" t="s">
        <v>106</v>
      </c>
      <c r="BV55" s="1"/>
      <c r="BW55" s="1"/>
      <c r="CJ55" s="11"/>
      <c r="CK55" s="12"/>
      <c r="CL55" s="12"/>
      <c r="CM55" s="12"/>
      <c r="CN55" s="13"/>
      <c r="CO55" s="1"/>
      <c r="CP55" s="1"/>
    </row>
    <row r="56" ht="11.25" customHeight="1">
      <c r="A56" s="1"/>
      <c r="B56" s="1"/>
      <c r="C56" s="11"/>
      <c r="D56" s="12"/>
      <c r="E56" s="12"/>
      <c r="F56" s="12"/>
      <c r="G56" s="12"/>
      <c r="H56" s="12"/>
      <c r="I56" s="12"/>
      <c r="J56" s="12"/>
      <c r="K56" s="13"/>
      <c r="L56" s="11"/>
      <c r="M56" s="12"/>
      <c r="N56" s="13"/>
      <c r="Q56" s="11"/>
      <c r="R56" s="12"/>
      <c r="S56" s="13"/>
      <c r="T56" s="11"/>
      <c r="U56" s="12"/>
      <c r="V56" s="13"/>
      <c r="W56" s="11"/>
      <c r="X56" s="12"/>
      <c r="Y56" s="13"/>
      <c r="Z56" s="1"/>
      <c r="AA56" s="1"/>
      <c r="AB56" s="1"/>
      <c r="AC56" s="1"/>
      <c r="AD56" s="1"/>
      <c r="AE56" s="1"/>
      <c r="AF56" s="1"/>
      <c r="AG56" s="1"/>
      <c r="AH56" s="1"/>
      <c r="AI56" s="1"/>
      <c r="AJ56" s="1"/>
      <c r="AK56" s="1"/>
      <c r="AL56" s="1"/>
      <c r="AM56" s="1"/>
      <c r="AN56" s="1"/>
      <c r="AO56" s="1"/>
      <c r="AP56" s="1"/>
      <c r="AQ56" s="1"/>
      <c r="AR56" s="1"/>
      <c r="AS56" s="1"/>
      <c r="AT56" s="1"/>
      <c r="AU56" s="1"/>
      <c r="AV56" s="1"/>
      <c r="BV56" s="1"/>
      <c r="BW56" s="1"/>
      <c r="BX56" s="50" t="s">
        <v>107</v>
      </c>
      <c r="CE56" s="51">
        <f>IF(BL21&gt;=10,H25*10,H25)</f>
        <v>16</v>
      </c>
      <c r="CF56" s="5"/>
      <c r="CG56" s="6"/>
      <c r="CH56" s="50" t="s">
        <v>108</v>
      </c>
      <c r="CL56" s="51">
        <f>IF(BL21&gt;=10,H25,1)</f>
        <v>1</v>
      </c>
      <c r="CM56" s="5"/>
      <c r="CN56" s="6"/>
      <c r="CO56" s="1"/>
      <c r="CP56" s="1"/>
    </row>
    <row r="57" ht="11.25" customHeight="1">
      <c r="A57" s="15"/>
      <c r="B57" s="15"/>
      <c r="C57" s="15"/>
      <c r="D57" s="15"/>
      <c r="E57" s="15"/>
      <c r="F57" s="15"/>
      <c r="G57" s="15"/>
      <c r="H57" s="16"/>
      <c r="I57" s="52" t="s">
        <v>35</v>
      </c>
      <c r="J57" s="12"/>
      <c r="K57" s="12"/>
      <c r="L57" s="52" t="s">
        <v>44</v>
      </c>
      <c r="M57" s="12"/>
      <c r="N57" s="12"/>
      <c r="O57" s="53" t="s">
        <v>30</v>
      </c>
      <c r="P57" s="12"/>
      <c r="Q57" s="12"/>
      <c r="R57" s="15"/>
      <c r="S57" s="15"/>
      <c r="T57" s="1"/>
      <c r="U57" s="1"/>
      <c r="V57" s="1"/>
      <c r="W57" s="1"/>
      <c r="X57" s="1"/>
      <c r="Y57" s="16" t="s">
        <v>35</v>
      </c>
      <c r="AB57" s="1"/>
      <c r="AC57" s="1"/>
      <c r="AD57" s="16" t="s">
        <v>36</v>
      </c>
      <c r="AG57" s="16" t="s">
        <v>14</v>
      </c>
      <c r="AJ57" s="16" t="s">
        <v>30</v>
      </c>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CE57" s="11"/>
      <c r="CF57" s="12"/>
      <c r="CG57" s="13"/>
      <c r="CL57" s="11"/>
      <c r="CM57" s="12"/>
      <c r="CN57" s="13"/>
      <c r="CO57" s="1"/>
      <c r="CP57" s="1"/>
    </row>
    <row r="58" ht="11.25" customHeight="1">
      <c r="A58" s="1"/>
      <c r="B58" s="1"/>
      <c r="C58" s="4" t="s">
        <v>109</v>
      </c>
      <c r="D58" s="5"/>
      <c r="E58" s="5"/>
      <c r="F58" s="5"/>
      <c r="G58" s="5"/>
      <c r="H58" s="6"/>
      <c r="I58" s="54">
        <f>L58+O58</f>
        <v>2</v>
      </c>
      <c r="K58" s="34"/>
      <c r="L58" s="55">
        <f>VLookup("DEX",AbilityScores,9,false)</f>
        <v>2</v>
      </c>
      <c r="N58" s="34"/>
      <c r="O58" s="14">
        <f>IF($AC$9&gt;=13,$AC$9,0)</f>
        <v>0</v>
      </c>
      <c r="P58" s="5"/>
      <c r="Q58" s="6"/>
      <c r="R58" s="1"/>
      <c r="S58" s="4" t="s">
        <v>110</v>
      </c>
      <c r="T58" s="5"/>
      <c r="U58" s="5"/>
      <c r="V58" s="5"/>
      <c r="W58" s="5"/>
      <c r="X58" s="6"/>
      <c r="Y58" s="26">
        <f>10+AD58+AG58+AJ58</f>
        <v>20</v>
      </c>
      <c r="Z58" s="5"/>
      <c r="AA58" s="6"/>
      <c r="AB58" s="20" t="s">
        <v>100</v>
      </c>
      <c r="AD58" s="9">
        <f>VLookup(AB58,AbilityScores,9,false)</f>
        <v>4</v>
      </c>
      <c r="AE58" s="5"/>
      <c r="AF58" s="6"/>
      <c r="AG58" s="47">
        <f>$AC$9</f>
        <v>4</v>
      </c>
      <c r="AH58" s="5"/>
      <c r="AI58" s="6"/>
      <c r="AJ58" s="14">
        <v>2.0</v>
      </c>
      <c r="AK58" s="5"/>
      <c r="AL58" s="6"/>
      <c r="AM58" s="1"/>
      <c r="AN58" s="56" t="s">
        <v>111</v>
      </c>
      <c r="AO58" s="5"/>
      <c r="AP58" s="5"/>
      <c r="AQ58" s="5"/>
      <c r="AR58" s="5"/>
      <c r="AS58" s="5"/>
      <c r="AT58" s="5"/>
      <c r="AU58" s="6"/>
      <c r="AV58" s="1"/>
      <c r="AW58" s="18" t="s">
        <v>112</v>
      </c>
      <c r="BA58" s="14" t="s">
        <v>113</v>
      </c>
      <c r="BB58" s="5"/>
      <c r="BC58" s="5"/>
      <c r="BD58" s="5"/>
      <c r="BE58" s="5"/>
      <c r="BF58" s="5"/>
      <c r="BG58" s="5"/>
      <c r="BH58" s="5"/>
      <c r="BI58" s="5"/>
      <c r="BJ58" s="5"/>
      <c r="BK58" s="5"/>
      <c r="BL58" s="5"/>
      <c r="BM58" s="5"/>
      <c r="BN58" s="5"/>
      <c r="BO58" s="5"/>
      <c r="BP58" s="5"/>
      <c r="BQ58" s="5"/>
      <c r="BR58" s="5"/>
      <c r="BS58" s="5"/>
      <c r="BT58" s="5"/>
      <c r="BU58" s="6"/>
      <c r="BV58" s="1"/>
      <c r="BW58" s="1"/>
      <c r="BX58" s="50" t="s">
        <v>114</v>
      </c>
      <c r="CK58" s="57"/>
      <c r="CL58" s="51">
        <f>(sign(BL27)+floor(BL27/5))</f>
        <v>0</v>
      </c>
      <c r="CM58" s="5"/>
      <c r="CN58" s="6"/>
      <c r="CO58" s="1"/>
      <c r="CP58" s="1"/>
    </row>
    <row r="59" ht="11.25" customHeight="1">
      <c r="A59" s="1"/>
      <c r="B59" s="1"/>
      <c r="C59" s="11"/>
      <c r="D59" s="12"/>
      <c r="E59" s="12"/>
      <c r="F59" s="12"/>
      <c r="G59" s="12"/>
      <c r="H59" s="13"/>
      <c r="I59" s="11"/>
      <c r="J59" s="12"/>
      <c r="K59" s="13"/>
      <c r="L59" s="12"/>
      <c r="M59" s="12"/>
      <c r="N59" s="13"/>
      <c r="O59" s="11"/>
      <c r="P59" s="12"/>
      <c r="Q59" s="13"/>
      <c r="R59" s="1"/>
      <c r="S59" s="11"/>
      <c r="T59" s="12"/>
      <c r="U59" s="12"/>
      <c r="V59" s="12"/>
      <c r="W59" s="12"/>
      <c r="X59" s="13"/>
      <c r="Y59" s="11"/>
      <c r="Z59" s="12"/>
      <c r="AA59" s="13"/>
      <c r="AD59" s="11"/>
      <c r="AE59" s="12"/>
      <c r="AF59" s="13"/>
      <c r="AG59" s="11"/>
      <c r="AH59" s="12"/>
      <c r="AI59" s="13"/>
      <c r="AJ59" s="11"/>
      <c r="AK59" s="12"/>
      <c r="AL59" s="13"/>
      <c r="AM59" s="1"/>
      <c r="AN59" s="11"/>
      <c r="AO59" s="12"/>
      <c r="AP59" s="12"/>
      <c r="AQ59" s="12"/>
      <c r="AR59" s="12"/>
      <c r="AS59" s="12"/>
      <c r="AT59" s="12"/>
      <c r="AU59" s="13"/>
      <c r="AV59" s="1"/>
      <c r="BA59" s="11"/>
      <c r="BB59" s="12"/>
      <c r="BC59" s="12"/>
      <c r="BD59" s="12"/>
      <c r="BE59" s="12"/>
      <c r="BF59" s="12"/>
      <c r="BG59" s="12"/>
      <c r="BH59" s="12"/>
      <c r="BI59" s="12"/>
      <c r="BJ59" s="12"/>
      <c r="BK59" s="12"/>
      <c r="BL59" s="12"/>
      <c r="BM59" s="12"/>
      <c r="BN59" s="12"/>
      <c r="BO59" s="12"/>
      <c r="BP59" s="12"/>
      <c r="BQ59" s="12"/>
      <c r="BR59" s="12"/>
      <c r="BS59" s="12"/>
      <c r="BT59" s="12"/>
      <c r="BU59" s="13"/>
      <c r="BV59" s="1"/>
      <c r="BW59" s="1"/>
      <c r="CK59" s="57"/>
      <c r="CL59" s="11"/>
      <c r="CM59" s="12"/>
      <c r="CN59" s="13"/>
      <c r="CO59" s="1"/>
      <c r="CP59" s="1"/>
    </row>
    <row r="60" ht="11.25" customHeight="1">
      <c r="A60" s="1"/>
      <c r="B60" s="1"/>
      <c r="C60" s="1"/>
      <c r="D60" s="1"/>
      <c r="E60" s="1"/>
      <c r="F60" s="16" t="s">
        <v>35</v>
      </c>
      <c r="I60" s="16" t="s">
        <v>28</v>
      </c>
      <c r="L60" s="16" t="s">
        <v>115</v>
      </c>
      <c r="O60" s="16" t="s">
        <v>30</v>
      </c>
      <c r="R60" s="1"/>
      <c r="S60" s="1"/>
      <c r="T60" s="1"/>
      <c r="U60" s="1"/>
      <c r="V60" s="1"/>
      <c r="W60" s="1"/>
      <c r="X60" s="1"/>
      <c r="Y60" s="1"/>
      <c r="Z60" s="1"/>
      <c r="AA60" s="1"/>
      <c r="AB60" s="1"/>
      <c r="AC60" s="1"/>
      <c r="AD60" s="16" t="s">
        <v>36</v>
      </c>
      <c r="AG60" s="16" t="s">
        <v>91</v>
      </c>
      <c r="AJ60" s="16" t="s">
        <v>30</v>
      </c>
      <c r="AM60" s="1"/>
      <c r="AN60" s="58"/>
      <c r="AO60" s="5"/>
      <c r="AP60" s="5"/>
      <c r="AQ60" s="5"/>
      <c r="AR60" s="5"/>
      <c r="AS60" s="5"/>
      <c r="AT60" s="5"/>
      <c r="AU60" s="6"/>
      <c r="AV60" s="1"/>
      <c r="AW60" s="18" t="s">
        <v>80</v>
      </c>
      <c r="BA60" s="14" t="s">
        <v>116</v>
      </c>
      <c r="BB60" s="5"/>
      <c r="BC60" s="5"/>
      <c r="BD60" s="5"/>
      <c r="BE60" s="5"/>
      <c r="BF60" s="5"/>
      <c r="BG60" s="5"/>
      <c r="BH60" s="5"/>
      <c r="BI60" s="5"/>
      <c r="BJ60" s="5"/>
      <c r="BK60" s="5"/>
      <c r="BL60" s="5"/>
      <c r="BM60" s="5"/>
      <c r="BN60" s="5"/>
      <c r="BO60" s="5"/>
      <c r="BP60" s="5"/>
      <c r="BQ60" s="5"/>
      <c r="BR60" s="5"/>
      <c r="BS60" s="5"/>
      <c r="BT60" s="5"/>
      <c r="BU60" s="6"/>
      <c r="BV60" s="1"/>
      <c r="BW60" s="1"/>
      <c r="BX60" s="51" t="str">
        <f>IF(BL29&gt;=5,"Healing +5","N/A")</f>
        <v>N/A</v>
      </c>
      <c r="BY60" s="5"/>
      <c r="BZ60" s="5"/>
      <c r="CA60" s="5"/>
      <c r="CB60" s="5"/>
      <c r="CC60" s="5"/>
      <c r="CD60" s="5"/>
      <c r="CE60" s="6"/>
      <c r="CF60" s="50"/>
      <c r="CG60" s="51" t="str">
        <f>IF(BL29&gt;=15,"HP Reduction -5","N/A")</f>
        <v>N/A</v>
      </c>
      <c r="CH60" s="5"/>
      <c r="CI60" s="5"/>
      <c r="CJ60" s="5"/>
      <c r="CK60" s="5"/>
      <c r="CL60" s="5"/>
      <c r="CM60" s="5"/>
      <c r="CN60" s="6"/>
      <c r="CO60" s="1"/>
      <c r="CP60" s="1"/>
    </row>
    <row r="61" ht="11.25" customHeight="1">
      <c r="A61" s="1"/>
      <c r="B61" s="1"/>
      <c r="C61" s="4" t="s">
        <v>117</v>
      </c>
      <c r="D61" s="5"/>
      <c r="E61" s="6"/>
      <c r="F61" s="26">
        <f>I61+L61+O61</f>
        <v>7</v>
      </c>
      <c r="G61" s="5"/>
      <c r="H61" s="6"/>
      <c r="I61" s="9">
        <f>if($K$70="Ref+Will",floor($AC$9/2),2+floor($AC$9*2/3))</f>
        <v>4</v>
      </c>
      <c r="J61" s="5"/>
      <c r="K61" s="6"/>
      <c r="L61" s="9">
        <f>max(VLookup("STR",AbilityScores,9,false),VLookup("CON",AbilityScores,9,false))</f>
        <v>3</v>
      </c>
      <c r="M61" s="5"/>
      <c r="N61" s="6"/>
      <c r="O61" s="46"/>
      <c r="P61" s="5"/>
      <c r="Q61" s="6"/>
      <c r="R61" s="1"/>
      <c r="S61" s="8" t="s">
        <v>43</v>
      </c>
      <c r="Y61" s="26">
        <f>10+AD61+AG61+AJ61</f>
        <v>17</v>
      </c>
      <c r="Z61" s="5"/>
      <c r="AA61" s="6"/>
      <c r="AB61" s="20" t="s">
        <v>74</v>
      </c>
      <c r="AD61" s="9">
        <f>$H$38</f>
        <v>3</v>
      </c>
      <c r="AE61" s="5"/>
      <c r="AF61" s="6"/>
      <c r="AG61" s="47">
        <f>$H$47</f>
        <v>4</v>
      </c>
      <c r="AH61" s="5"/>
      <c r="AI61" s="6"/>
      <c r="AJ61" s="46"/>
      <c r="AK61" s="5"/>
      <c r="AL61" s="6"/>
      <c r="AM61" s="1"/>
      <c r="AN61" s="59"/>
      <c r="AU61" s="34"/>
      <c r="AV61" s="1"/>
      <c r="BA61" s="11"/>
      <c r="BB61" s="12"/>
      <c r="BC61" s="12"/>
      <c r="BD61" s="12"/>
      <c r="BE61" s="12"/>
      <c r="BF61" s="12"/>
      <c r="BG61" s="12"/>
      <c r="BH61" s="12"/>
      <c r="BI61" s="12"/>
      <c r="BJ61" s="12"/>
      <c r="BK61" s="12"/>
      <c r="BL61" s="12"/>
      <c r="BM61" s="12"/>
      <c r="BN61" s="12"/>
      <c r="BO61" s="12"/>
      <c r="BP61" s="12"/>
      <c r="BQ61" s="12"/>
      <c r="BR61" s="12"/>
      <c r="BS61" s="12"/>
      <c r="BT61" s="12"/>
      <c r="BU61" s="13"/>
      <c r="BV61" s="1"/>
      <c r="BW61" s="1"/>
      <c r="BX61" s="11"/>
      <c r="BY61" s="12"/>
      <c r="BZ61" s="12"/>
      <c r="CA61" s="12"/>
      <c r="CB61" s="12"/>
      <c r="CC61" s="12"/>
      <c r="CD61" s="12"/>
      <c r="CE61" s="13"/>
      <c r="CF61" s="50"/>
      <c r="CG61" s="11"/>
      <c r="CH61" s="12"/>
      <c r="CI61" s="12"/>
      <c r="CJ61" s="12"/>
      <c r="CK61" s="12"/>
      <c r="CL61" s="12"/>
      <c r="CM61" s="12"/>
      <c r="CN61" s="13"/>
      <c r="CO61" s="1"/>
      <c r="CP61" s="1"/>
    </row>
    <row r="62" ht="11.25" customHeight="1">
      <c r="A62" s="1"/>
      <c r="B62" s="1"/>
      <c r="C62" s="11"/>
      <c r="D62" s="12"/>
      <c r="E62" s="13"/>
      <c r="F62" s="11"/>
      <c r="G62" s="12"/>
      <c r="H62" s="13"/>
      <c r="I62" s="11"/>
      <c r="J62" s="12"/>
      <c r="K62" s="13"/>
      <c r="L62" s="11"/>
      <c r="M62" s="12"/>
      <c r="N62" s="13"/>
      <c r="O62" s="11"/>
      <c r="P62" s="12"/>
      <c r="Q62" s="13"/>
      <c r="R62" s="1"/>
      <c r="Y62" s="11"/>
      <c r="Z62" s="12"/>
      <c r="AA62" s="13"/>
      <c r="AD62" s="11"/>
      <c r="AE62" s="12"/>
      <c r="AF62" s="13"/>
      <c r="AG62" s="11"/>
      <c r="AH62" s="12"/>
      <c r="AI62" s="13"/>
      <c r="AJ62" s="11"/>
      <c r="AK62" s="12"/>
      <c r="AL62" s="13"/>
      <c r="AM62" s="1"/>
      <c r="AN62" s="59"/>
      <c r="AU62" s="34"/>
      <c r="AV62" s="1"/>
      <c r="AW62" s="18" t="s">
        <v>82</v>
      </c>
      <c r="BA62" s="14" t="str">
        <f>IF($AC$9&gt;=3,"You Will Falter","")</f>
        <v>You Will Falter</v>
      </c>
      <c r="BB62" s="5"/>
      <c r="BC62" s="5"/>
      <c r="BD62" s="5"/>
      <c r="BE62" s="5"/>
      <c r="BF62" s="5"/>
      <c r="BG62" s="5"/>
      <c r="BH62" s="5"/>
      <c r="BI62" s="5"/>
      <c r="BJ62" s="5"/>
      <c r="BK62" s="5"/>
      <c r="BL62" s="5"/>
      <c r="BM62" s="5"/>
      <c r="BN62" s="5"/>
      <c r="BO62" s="5"/>
      <c r="BP62" s="5"/>
      <c r="BQ62" s="5"/>
      <c r="BR62" s="5"/>
      <c r="BS62" s="5"/>
      <c r="BT62" s="5"/>
      <c r="BU62" s="6"/>
      <c r="BV62" s="1"/>
      <c r="BW62" s="1"/>
      <c r="BX62" s="50"/>
      <c r="BY62" s="50"/>
      <c r="BZ62" s="50"/>
      <c r="CA62" s="50"/>
      <c r="CB62" s="50"/>
      <c r="CC62" s="50"/>
      <c r="CD62" s="50"/>
      <c r="CE62" s="50"/>
      <c r="CF62" s="50"/>
      <c r="CG62" s="50"/>
      <c r="CH62" s="50"/>
      <c r="CI62" s="50"/>
      <c r="CJ62" s="50"/>
      <c r="CK62" s="50"/>
      <c r="CL62" s="50"/>
      <c r="CM62" s="50"/>
      <c r="CN62" s="50"/>
      <c r="CO62" s="1"/>
      <c r="CP62" s="1"/>
    </row>
    <row r="63" ht="11.25" customHeight="1">
      <c r="A63" s="1"/>
      <c r="B63" s="1"/>
      <c r="C63" s="1"/>
      <c r="D63" s="1"/>
      <c r="E63" s="1"/>
      <c r="F63" s="16"/>
      <c r="G63" s="16"/>
      <c r="H63" s="16"/>
      <c r="I63" s="16"/>
      <c r="J63" s="16"/>
      <c r="K63" s="16"/>
      <c r="L63" s="16" t="s">
        <v>118</v>
      </c>
      <c r="O63" s="16"/>
      <c r="R63" s="1"/>
      <c r="S63" s="1"/>
      <c r="T63" s="1"/>
      <c r="U63" s="1"/>
      <c r="V63" s="1"/>
      <c r="W63" s="1"/>
      <c r="X63" s="1"/>
      <c r="Y63" s="1"/>
      <c r="Z63" s="1"/>
      <c r="AA63" s="1"/>
      <c r="AB63" s="1"/>
      <c r="AC63" s="1"/>
      <c r="AD63" s="16" t="s">
        <v>36</v>
      </c>
      <c r="AG63" s="16" t="s">
        <v>14</v>
      </c>
      <c r="AJ63" s="16" t="s">
        <v>30</v>
      </c>
      <c r="AM63" s="1"/>
      <c r="AN63" s="59"/>
      <c r="AU63" s="34"/>
      <c r="AV63" s="1"/>
      <c r="BA63" s="11"/>
      <c r="BB63" s="12"/>
      <c r="BC63" s="12"/>
      <c r="BD63" s="12"/>
      <c r="BE63" s="12"/>
      <c r="BF63" s="12"/>
      <c r="BG63" s="12"/>
      <c r="BH63" s="12"/>
      <c r="BI63" s="12"/>
      <c r="BJ63" s="12"/>
      <c r="BK63" s="12"/>
      <c r="BL63" s="12"/>
      <c r="BM63" s="12"/>
      <c r="BN63" s="12"/>
      <c r="BO63" s="12"/>
      <c r="BP63" s="12"/>
      <c r="BQ63" s="12"/>
      <c r="BR63" s="12"/>
      <c r="BS63" s="12"/>
      <c r="BT63" s="12"/>
      <c r="BU63" s="13"/>
      <c r="BV63" s="1"/>
      <c r="BW63" s="1"/>
      <c r="BX63" s="50"/>
      <c r="BY63" s="50"/>
      <c r="BZ63" s="50"/>
      <c r="CA63" s="50"/>
      <c r="CB63" s="50"/>
      <c r="CC63" s="50"/>
      <c r="CD63" s="50"/>
      <c r="CE63" s="50"/>
      <c r="CF63" s="50"/>
      <c r="CG63" s="50"/>
      <c r="CH63" s="50"/>
      <c r="CI63" s="50"/>
      <c r="CJ63" s="50"/>
      <c r="CK63" s="50"/>
      <c r="CL63" s="50"/>
      <c r="CM63" s="50"/>
      <c r="CN63" s="50"/>
      <c r="CO63" s="1"/>
      <c r="CP63" s="1"/>
    </row>
    <row r="64" ht="11.25" customHeight="1">
      <c r="A64" s="1"/>
      <c r="B64" s="1"/>
      <c r="C64" s="4" t="s">
        <v>119</v>
      </c>
      <c r="D64" s="5"/>
      <c r="E64" s="6"/>
      <c r="F64" s="26">
        <f>I64+L64+O64</f>
        <v>6</v>
      </c>
      <c r="G64" s="5"/>
      <c r="H64" s="6"/>
      <c r="I64" s="9">
        <f>if($K$70="Fort+Will",floor($AC$9/2),2+floor($AC$9*2/3))</f>
        <v>4</v>
      </c>
      <c r="J64" s="5"/>
      <c r="K64" s="6"/>
      <c r="L64" s="9">
        <f>max(VLookup("DEX",AbilityScores,9,false),VLookup("INT",AbilityScores,9,false))</f>
        <v>2</v>
      </c>
      <c r="M64" s="5"/>
      <c r="N64" s="6"/>
      <c r="O64" s="46"/>
      <c r="P64" s="5"/>
      <c r="Q64" s="6"/>
      <c r="R64" s="1"/>
      <c r="S64" s="4" t="s">
        <v>89</v>
      </c>
      <c r="T64" s="5"/>
      <c r="U64" s="5"/>
      <c r="V64" s="5"/>
      <c r="W64" s="5"/>
      <c r="X64" s="6"/>
      <c r="Y64" s="26">
        <f>10+AD64+AG64+AJ64</f>
        <v>18</v>
      </c>
      <c r="Z64" s="5"/>
      <c r="AA64" s="6"/>
      <c r="AB64" s="20" t="s">
        <v>100</v>
      </c>
      <c r="AD64" s="9">
        <f>VLookup(AB64,AbilityScores,9,false)</f>
        <v>4</v>
      </c>
      <c r="AE64" s="5"/>
      <c r="AF64" s="6"/>
      <c r="AG64" s="47">
        <f>$AC$9</f>
        <v>4</v>
      </c>
      <c r="AH64" s="5"/>
      <c r="AI64" s="6"/>
      <c r="AJ64" s="46"/>
      <c r="AK64" s="5"/>
      <c r="AL64" s="6"/>
      <c r="AM64" s="1"/>
      <c r="AN64" s="59"/>
      <c r="AU64" s="34"/>
      <c r="AV64" s="1"/>
      <c r="AW64" s="18" t="s">
        <v>120</v>
      </c>
      <c r="BA64" s="14" t="str">
        <f>IF($AC$9&gt;=6,"Terrifying Shout","")</f>
        <v/>
      </c>
      <c r="BB64" s="5"/>
      <c r="BC64" s="5"/>
      <c r="BD64" s="5"/>
      <c r="BE64" s="5"/>
      <c r="BF64" s="5"/>
      <c r="BG64" s="5"/>
      <c r="BH64" s="5"/>
      <c r="BI64" s="5"/>
      <c r="BJ64" s="5"/>
      <c r="BK64" s="5"/>
      <c r="BL64" s="5"/>
      <c r="BM64" s="5"/>
      <c r="BN64" s="5"/>
      <c r="BO64" s="5"/>
      <c r="BP64" s="5"/>
      <c r="BQ64" s="5"/>
      <c r="BR64" s="5"/>
      <c r="BS64" s="5"/>
      <c r="BT64" s="5"/>
      <c r="BU64" s="6"/>
      <c r="BV64" s="1"/>
      <c r="BW64" s="1"/>
      <c r="BX64" s="56" t="s">
        <v>111</v>
      </c>
      <c r="BY64" s="5"/>
      <c r="BZ64" s="5"/>
      <c r="CA64" s="5"/>
      <c r="CB64" s="5"/>
      <c r="CC64" s="5"/>
      <c r="CD64" s="5"/>
      <c r="CE64" s="5"/>
      <c r="CF64" s="5"/>
      <c r="CG64" s="5"/>
      <c r="CH64" s="5"/>
      <c r="CI64" s="5"/>
      <c r="CJ64" s="5"/>
      <c r="CK64" s="5"/>
      <c r="CL64" s="5"/>
      <c r="CM64" s="5"/>
      <c r="CN64" s="6"/>
      <c r="CO64" s="1"/>
      <c r="CP64" s="1"/>
    </row>
    <row r="65" ht="11.25" customHeight="1">
      <c r="A65" s="1"/>
      <c r="B65" s="1"/>
      <c r="C65" s="11"/>
      <c r="D65" s="12"/>
      <c r="E65" s="13"/>
      <c r="F65" s="11"/>
      <c r="G65" s="12"/>
      <c r="H65" s="13"/>
      <c r="I65" s="11"/>
      <c r="J65" s="12"/>
      <c r="K65" s="13"/>
      <c r="L65" s="11"/>
      <c r="M65" s="12"/>
      <c r="N65" s="13"/>
      <c r="O65" s="11"/>
      <c r="P65" s="12"/>
      <c r="Q65" s="13"/>
      <c r="R65" s="1"/>
      <c r="S65" s="11"/>
      <c r="T65" s="12"/>
      <c r="U65" s="12"/>
      <c r="V65" s="12"/>
      <c r="W65" s="12"/>
      <c r="X65" s="13"/>
      <c r="Y65" s="11"/>
      <c r="Z65" s="12"/>
      <c r="AA65" s="13"/>
      <c r="AD65" s="11"/>
      <c r="AE65" s="12"/>
      <c r="AF65" s="13"/>
      <c r="AG65" s="11"/>
      <c r="AH65" s="12"/>
      <c r="AI65" s="13"/>
      <c r="AJ65" s="11"/>
      <c r="AK65" s="12"/>
      <c r="AL65" s="13"/>
      <c r="AM65" s="1"/>
      <c r="AN65" s="59"/>
      <c r="AU65" s="34"/>
      <c r="AV65" s="1"/>
      <c r="BA65" s="11"/>
      <c r="BB65" s="12"/>
      <c r="BC65" s="12"/>
      <c r="BD65" s="12"/>
      <c r="BE65" s="12"/>
      <c r="BF65" s="12"/>
      <c r="BG65" s="12"/>
      <c r="BH65" s="12"/>
      <c r="BI65" s="12"/>
      <c r="BJ65" s="12"/>
      <c r="BK65" s="12"/>
      <c r="BL65" s="12"/>
      <c r="BM65" s="12"/>
      <c r="BN65" s="12"/>
      <c r="BO65" s="12"/>
      <c r="BP65" s="12"/>
      <c r="BQ65" s="12"/>
      <c r="BR65" s="12"/>
      <c r="BS65" s="12"/>
      <c r="BT65" s="12"/>
      <c r="BU65" s="13"/>
      <c r="BV65" s="1"/>
      <c r="BW65" s="1"/>
      <c r="BX65" s="11"/>
      <c r="BY65" s="12"/>
      <c r="BZ65" s="12"/>
      <c r="CA65" s="12"/>
      <c r="CB65" s="12"/>
      <c r="CC65" s="12"/>
      <c r="CD65" s="12"/>
      <c r="CE65" s="12"/>
      <c r="CF65" s="12"/>
      <c r="CG65" s="12"/>
      <c r="CH65" s="12"/>
      <c r="CI65" s="12"/>
      <c r="CJ65" s="12"/>
      <c r="CK65" s="12"/>
      <c r="CL65" s="12"/>
      <c r="CM65" s="12"/>
      <c r="CN65" s="13"/>
      <c r="CO65" s="1"/>
      <c r="CP65" s="1"/>
    </row>
    <row r="66" ht="11.25" customHeight="1">
      <c r="A66" s="1"/>
      <c r="B66" s="1"/>
      <c r="C66" s="1"/>
      <c r="D66" s="1"/>
      <c r="E66" s="1"/>
      <c r="F66" s="16"/>
      <c r="G66" s="16"/>
      <c r="H66" s="16"/>
      <c r="I66" s="16"/>
      <c r="J66" s="16"/>
      <c r="K66" s="16"/>
      <c r="L66" s="16" t="s">
        <v>121</v>
      </c>
      <c r="O66" s="16"/>
      <c r="P66" s="16"/>
      <c r="Q66" s="16"/>
      <c r="R66" s="1"/>
      <c r="S66" s="1"/>
      <c r="T66" s="1"/>
      <c r="U66" s="1"/>
      <c r="V66" s="1"/>
      <c r="W66" s="1"/>
      <c r="X66" s="1"/>
      <c r="Y66" s="1"/>
      <c r="Z66" s="1"/>
      <c r="AA66" s="1"/>
      <c r="AB66" s="1"/>
      <c r="AC66" s="1"/>
      <c r="AD66" s="1"/>
      <c r="AE66" s="1"/>
      <c r="AF66" s="1"/>
      <c r="AG66" s="1"/>
      <c r="AH66" s="1"/>
      <c r="AI66" s="1"/>
      <c r="AJ66" s="1"/>
      <c r="AK66" s="1"/>
      <c r="AL66" s="1"/>
      <c r="AM66" s="1"/>
      <c r="AN66" s="59"/>
      <c r="AU66" s="34"/>
      <c r="AV66" s="1"/>
      <c r="AW66" s="18" t="s">
        <v>122</v>
      </c>
      <c r="BA66" s="14" t="str">
        <f>IF($AC$9&gt;=9,"Danger Sense","")</f>
        <v/>
      </c>
      <c r="BB66" s="5"/>
      <c r="BC66" s="5"/>
      <c r="BD66" s="5"/>
      <c r="BE66" s="5"/>
      <c r="BF66" s="5"/>
      <c r="BG66" s="5"/>
      <c r="BH66" s="5"/>
      <c r="BI66" s="5"/>
      <c r="BJ66" s="5"/>
      <c r="BK66" s="5"/>
      <c r="BL66" s="5"/>
      <c r="BM66" s="5"/>
      <c r="BN66" s="5"/>
      <c r="BO66" s="5"/>
      <c r="BP66" s="5"/>
      <c r="BQ66" s="5"/>
      <c r="BR66" s="5"/>
      <c r="BS66" s="5"/>
      <c r="BT66" s="5"/>
      <c r="BU66" s="6"/>
      <c r="BV66" s="1"/>
      <c r="BW66" s="1"/>
      <c r="BX66" s="58"/>
      <c r="BY66" s="5"/>
      <c r="BZ66" s="5"/>
      <c r="CA66" s="5"/>
      <c r="CB66" s="5"/>
      <c r="CC66" s="5"/>
      <c r="CD66" s="5"/>
      <c r="CE66" s="5"/>
      <c r="CF66" s="5"/>
      <c r="CG66" s="5"/>
      <c r="CH66" s="5"/>
      <c r="CI66" s="5"/>
      <c r="CJ66" s="5"/>
      <c r="CK66" s="5"/>
      <c r="CL66" s="5"/>
      <c r="CM66" s="5"/>
      <c r="CN66" s="6"/>
      <c r="CO66" s="1"/>
      <c r="CP66" s="1"/>
    </row>
    <row r="67" ht="11.25" customHeight="1">
      <c r="A67" s="1"/>
      <c r="B67" s="1"/>
      <c r="C67" s="4" t="s">
        <v>123</v>
      </c>
      <c r="D67" s="5"/>
      <c r="E67" s="6"/>
      <c r="F67" s="26">
        <f>I67+L67+O67</f>
        <v>6</v>
      </c>
      <c r="G67" s="5"/>
      <c r="H67" s="6"/>
      <c r="I67" s="9">
        <f>if($K$70="Fort+Ref",floor($AC$9/2),2+floor($AC$9*2/3))</f>
        <v>2</v>
      </c>
      <c r="J67" s="5"/>
      <c r="K67" s="6"/>
      <c r="L67" s="9">
        <f>max(VLookup("WIS",AbilityScores,9,false),VLookup("CHA",AbilityScores,9,false))</f>
        <v>4</v>
      </c>
      <c r="M67" s="5"/>
      <c r="N67" s="6"/>
      <c r="O67" s="46"/>
      <c r="P67" s="5"/>
      <c r="Q67" s="6"/>
      <c r="R67" s="1"/>
      <c r="S67" s="4" t="s">
        <v>94</v>
      </c>
      <c r="T67" s="5"/>
      <c r="U67" s="5"/>
      <c r="V67" s="5"/>
      <c r="W67" s="5"/>
      <c r="X67" s="6"/>
      <c r="Y67" s="26">
        <f>10+AD67+AG67+AJ67</f>
        <v>14</v>
      </c>
      <c r="Z67" s="5"/>
      <c r="AA67" s="6"/>
      <c r="AB67" s="20" t="s">
        <v>66</v>
      </c>
      <c r="AD67" s="9">
        <f>VLookup(AB67,AbilityScores,9,false)</f>
        <v>0</v>
      </c>
      <c r="AE67" s="5"/>
      <c r="AF67" s="6"/>
      <c r="AG67" s="47">
        <f>$AC$9</f>
        <v>4</v>
      </c>
      <c r="AH67" s="5"/>
      <c r="AI67" s="6"/>
      <c r="AJ67" s="46"/>
      <c r="AK67" s="5"/>
      <c r="AL67" s="6"/>
      <c r="AM67" s="1"/>
      <c r="AN67" s="59"/>
      <c r="AU67" s="34"/>
      <c r="AV67" s="1"/>
      <c r="BA67" s="11"/>
      <c r="BB67" s="12"/>
      <c r="BC67" s="12"/>
      <c r="BD67" s="12"/>
      <c r="BE67" s="12"/>
      <c r="BF67" s="12"/>
      <c r="BG67" s="12"/>
      <c r="BH67" s="12"/>
      <c r="BI67" s="12"/>
      <c r="BJ67" s="12"/>
      <c r="BK67" s="12"/>
      <c r="BL67" s="12"/>
      <c r="BM67" s="12"/>
      <c r="BN67" s="12"/>
      <c r="BO67" s="12"/>
      <c r="BP67" s="12"/>
      <c r="BQ67" s="12"/>
      <c r="BR67" s="12"/>
      <c r="BS67" s="12"/>
      <c r="BT67" s="12"/>
      <c r="BU67" s="13"/>
      <c r="BV67" s="1"/>
      <c r="BW67" s="1"/>
      <c r="BX67" s="59"/>
      <c r="CN67" s="34"/>
      <c r="CO67" s="1"/>
      <c r="CP67" s="1"/>
    </row>
    <row r="68" ht="11.25" customHeight="1">
      <c r="A68" s="1"/>
      <c r="B68" s="1"/>
      <c r="C68" s="11"/>
      <c r="D68" s="12"/>
      <c r="E68" s="13"/>
      <c r="F68" s="11"/>
      <c r="G68" s="12"/>
      <c r="H68" s="13"/>
      <c r="I68" s="11"/>
      <c r="J68" s="12"/>
      <c r="K68" s="13"/>
      <c r="L68" s="11"/>
      <c r="M68" s="12"/>
      <c r="N68" s="13"/>
      <c r="O68" s="11"/>
      <c r="P68" s="12"/>
      <c r="Q68" s="13"/>
      <c r="R68" s="1"/>
      <c r="S68" s="11"/>
      <c r="T68" s="12"/>
      <c r="U68" s="12"/>
      <c r="V68" s="12"/>
      <c r="W68" s="12"/>
      <c r="X68" s="13"/>
      <c r="Y68" s="11"/>
      <c r="Z68" s="12"/>
      <c r="AA68" s="13"/>
      <c r="AD68" s="11"/>
      <c r="AE68" s="12"/>
      <c r="AF68" s="13"/>
      <c r="AG68" s="11"/>
      <c r="AH68" s="12"/>
      <c r="AI68" s="13"/>
      <c r="AJ68" s="11"/>
      <c r="AK68" s="12"/>
      <c r="AL68" s="13"/>
      <c r="AM68" s="1"/>
      <c r="AN68" s="59"/>
      <c r="AU68" s="34"/>
      <c r="AV68" s="1"/>
      <c r="AW68" s="18" t="s">
        <v>124</v>
      </c>
      <c r="BA68" s="14" t="str">
        <f>IF($AC$9&gt;=12,"You Will Fail","")</f>
        <v/>
      </c>
      <c r="BB68" s="5"/>
      <c r="BC68" s="5"/>
      <c r="BD68" s="5"/>
      <c r="BE68" s="5"/>
      <c r="BF68" s="5"/>
      <c r="BG68" s="5"/>
      <c r="BH68" s="5"/>
      <c r="BI68" s="5"/>
      <c r="BJ68" s="5"/>
      <c r="BK68" s="5"/>
      <c r="BL68" s="5"/>
      <c r="BM68" s="5"/>
      <c r="BN68" s="5"/>
      <c r="BO68" s="5"/>
      <c r="BP68" s="5"/>
      <c r="BQ68" s="5"/>
      <c r="BR68" s="5"/>
      <c r="BS68" s="5"/>
      <c r="BT68" s="5"/>
      <c r="BU68" s="6"/>
      <c r="BV68" s="1"/>
      <c r="BW68" s="1"/>
      <c r="BX68" s="59"/>
      <c r="CN68" s="34"/>
      <c r="CO68" s="1"/>
      <c r="CP68" s="1"/>
    </row>
    <row r="69" ht="11.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59"/>
      <c r="AU69" s="34"/>
      <c r="AV69" s="1"/>
      <c r="BA69" s="11"/>
      <c r="BB69" s="12"/>
      <c r="BC69" s="12"/>
      <c r="BD69" s="12"/>
      <c r="BE69" s="12"/>
      <c r="BF69" s="12"/>
      <c r="BG69" s="12"/>
      <c r="BH69" s="12"/>
      <c r="BI69" s="12"/>
      <c r="BJ69" s="12"/>
      <c r="BK69" s="12"/>
      <c r="BL69" s="12"/>
      <c r="BM69" s="12"/>
      <c r="BN69" s="12"/>
      <c r="BO69" s="12"/>
      <c r="BP69" s="12"/>
      <c r="BQ69" s="12"/>
      <c r="BR69" s="12"/>
      <c r="BS69" s="12"/>
      <c r="BT69" s="12"/>
      <c r="BU69" s="13"/>
      <c r="BV69" s="1"/>
      <c r="BW69" s="1"/>
      <c r="BX69" s="59"/>
      <c r="CN69" s="34"/>
      <c r="CO69" s="1"/>
      <c r="CP69" s="1"/>
    </row>
    <row r="70" ht="11.25" customHeight="1">
      <c r="A70" s="1"/>
      <c r="B70" s="1"/>
      <c r="C70" s="4" t="s">
        <v>125</v>
      </c>
      <c r="D70" s="5"/>
      <c r="E70" s="5"/>
      <c r="F70" s="5"/>
      <c r="G70" s="5"/>
      <c r="H70" s="5"/>
      <c r="I70" s="5"/>
      <c r="J70" s="6"/>
      <c r="K70" s="14" t="s">
        <v>126</v>
      </c>
      <c r="L70" s="5"/>
      <c r="M70" s="5"/>
      <c r="N70" s="5"/>
      <c r="O70" s="5"/>
      <c r="P70" s="5"/>
      <c r="Q70" s="6"/>
      <c r="R70" s="1"/>
      <c r="S70" s="4" t="s">
        <v>96</v>
      </c>
      <c r="T70" s="5"/>
      <c r="U70" s="5"/>
      <c r="V70" s="5"/>
      <c r="W70" s="5"/>
      <c r="X70" s="6"/>
      <c r="Y70" s="26">
        <f>10+AD70+AG70+AJ70</f>
        <v>14</v>
      </c>
      <c r="Z70" s="5"/>
      <c r="AA70" s="6"/>
      <c r="AB70" s="20" t="s">
        <v>90</v>
      </c>
      <c r="AD70" s="9">
        <f>VLookup(AB70,AbilityScores,9,false)</f>
        <v>0</v>
      </c>
      <c r="AE70" s="5"/>
      <c r="AF70" s="6"/>
      <c r="AG70" s="47">
        <f>$AC$9</f>
        <v>4</v>
      </c>
      <c r="AH70" s="5"/>
      <c r="AI70" s="6"/>
      <c r="AJ70" s="46"/>
      <c r="AK70" s="5"/>
      <c r="AL70" s="6"/>
      <c r="AM70" s="1"/>
      <c r="AN70" s="59"/>
      <c r="AU70" s="34"/>
      <c r="AV70" s="1"/>
      <c r="AW70" s="18" t="s">
        <v>127</v>
      </c>
      <c r="BA70" s="14" t="str">
        <f>IF($AC$9&gt;=15,"???","")</f>
        <v/>
      </c>
      <c r="BB70" s="5"/>
      <c r="BC70" s="5"/>
      <c r="BD70" s="5"/>
      <c r="BE70" s="5"/>
      <c r="BF70" s="5"/>
      <c r="BG70" s="5"/>
      <c r="BH70" s="5"/>
      <c r="BI70" s="5"/>
      <c r="BJ70" s="5"/>
      <c r="BK70" s="5"/>
      <c r="BL70" s="5"/>
      <c r="BM70" s="5"/>
      <c r="BN70" s="5"/>
      <c r="BO70" s="5"/>
      <c r="BP70" s="5"/>
      <c r="BQ70" s="5"/>
      <c r="BR70" s="5"/>
      <c r="BS70" s="5"/>
      <c r="BT70" s="5"/>
      <c r="BU70" s="6"/>
      <c r="BV70" s="1"/>
      <c r="BW70" s="1"/>
      <c r="BX70" s="59"/>
      <c r="CN70" s="34"/>
      <c r="CO70" s="1"/>
      <c r="CP70" s="1"/>
    </row>
    <row r="71" ht="11.25" customHeight="1">
      <c r="A71" s="1"/>
      <c r="B71" s="1"/>
      <c r="C71" s="11"/>
      <c r="D71" s="12"/>
      <c r="E71" s="12"/>
      <c r="F71" s="12"/>
      <c r="G71" s="12"/>
      <c r="H71" s="12"/>
      <c r="I71" s="12"/>
      <c r="J71" s="13"/>
      <c r="K71" s="11"/>
      <c r="L71" s="12"/>
      <c r="M71" s="12"/>
      <c r="N71" s="12"/>
      <c r="O71" s="12"/>
      <c r="P71" s="12"/>
      <c r="Q71" s="13"/>
      <c r="R71" s="1"/>
      <c r="S71" s="11"/>
      <c r="T71" s="12"/>
      <c r="U71" s="12"/>
      <c r="V71" s="12"/>
      <c r="W71" s="12"/>
      <c r="X71" s="13"/>
      <c r="Y71" s="11"/>
      <c r="Z71" s="12"/>
      <c r="AA71" s="13"/>
      <c r="AD71" s="11"/>
      <c r="AE71" s="12"/>
      <c r="AF71" s="13"/>
      <c r="AG71" s="11"/>
      <c r="AH71" s="12"/>
      <c r="AI71" s="13"/>
      <c r="AJ71" s="11"/>
      <c r="AK71" s="12"/>
      <c r="AL71" s="13"/>
      <c r="AM71" s="1"/>
      <c r="AN71" s="59"/>
      <c r="AU71" s="34"/>
      <c r="AV71" s="1"/>
      <c r="BA71" s="11"/>
      <c r="BB71" s="12"/>
      <c r="BC71" s="12"/>
      <c r="BD71" s="12"/>
      <c r="BE71" s="12"/>
      <c r="BF71" s="12"/>
      <c r="BG71" s="12"/>
      <c r="BH71" s="12"/>
      <c r="BI71" s="12"/>
      <c r="BJ71" s="12"/>
      <c r="BK71" s="12"/>
      <c r="BL71" s="12"/>
      <c r="BM71" s="12"/>
      <c r="BN71" s="12"/>
      <c r="BO71" s="12"/>
      <c r="BP71" s="12"/>
      <c r="BQ71" s="12"/>
      <c r="BR71" s="12"/>
      <c r="BS71" s="12"/>
      <c r="BT71" s="12"/>
      <c r="BU71" s="13"/>
      <c r="BV71" s="1"/>
      <c r="BW71" s="1"/>
      <c r="BX71" s="59"/>
      <c r="CN71" s="34"/>
      <c r="CO71" s="1"/>
      <c r="CP71" s="1"/>
    </row>
    <row r="72" ht="11.25" customHeight="1">
      <c r="A72" s="1"/>
      <c r="B72" s="1"/>
      <c r="C72" s="15"/>
      <c r="D72" s="15"/>
      <c r="E72" s="15"/>
      <c r="F72" s="16" t="s">
        <v>35</v>
      </c>
      <c r="I72" s="16" t="str">
        <f>CONCAT(IF(COUNTIF(BA58:BA76,"Dartmuth Secret"),"Int","Con"),if($BL$29&lt;10,"/2",""))</f>
        <v>Con/2</v>
      </c>
      <c r="L72" s="16" t="s">
        <v>30</v>
      </c>
      <c r="O72" s="16"/>
      <c r="P72" s="16"/>
      <c r="Q72" s="16"/>
      <c r="R72" s="15"/>
      <c r="S72" s="1"/>
      <c r="T72" s="1"/>
      <c r="U72" s="1"/>
      <c r="V72" s="1"/>
      <c r="W72" s="1"/>
      <c r="X72" s="1"/>
      <c r="Y72" s="1"/>
      <c r="Z72" s="1"/>
      <c r="AA72" s="1"/>
      <c r="AB72" s="1"/>
      <c r="AC72" s="1"/>
      <c r="AD72" s="1"/>
      <c r="AE72" s="1"/>
      <c r="AF72" s="1"/>
      <c r="AG72" s="1"/>
      <c r="AH72" s="1"/>
      <c r="AI72" s="1"/>
      <c r="AJ72" s="1"/>
      <c r="AK72" s="1"/>
      <c r="AL72" s="1"/>
      <c r="AM72" s="1"/>
      <c r="AN72" s="59"/>
      <c r="AU72" s="34"/>
      <c r="AV72" s="1"/>
      <c r="AW72" s="18" t="s">
        <v>128</v>
      </c>
      <c r="BA72" s="14" t="str">
        <f>IF($AC$9&gt;=18,"???","")</f>
        <v/>
      </c>
      <c r="BB72" s="5"/>
      <c r="BC72" s="5"/>
      <c r="BD72" s="5"/>
      <c r="BE72" s="5"/>
      <c r="BF72" s="5"/>
      <c r="BG72" s="5"/>
      <c r="BH72" s="5"/>
      <c r="BI72" s="5"/>
      <c r="BJ72" s="5"/>
      <c r="BK72" s="5"/>
      <c r="BL72" s="5"/>
      <c r="BM72" s="5"/>
      <c r="BN72" s="5"/>
      <c r="BO72" s="5"/>
      <c r="BP72" s="5"/>
      <c r="BQ72" s="5"/>
      <c r="BR72" s="5"/>
      <c r="BS72" s="5"/>
      <c r="BT72" s="5"/>
      <c r="BU72" s="6"/>
      <c r="BV72" s="1"/>
      <c r="BW72" s="1"/>
      <c r="BX72" s="59"/>
      <c r="CN72" s="34"/>
      <c r="CO72" s="1"/>
      <c r="CP72" s="1"/>
    </row>
    <row r="73" ht="11.25" customHeight="1">
      <c r="A73" s="1"/>
      <c r="B73" s="1"/>
      <c r="C73" s="4" t="s">
        <v>129</v>
      </c>
      <c r="D73" s="5"/>
      <c r="E73" s="6"/>
      <c r="F73" s="26">
        <f>I73+L73</f>
        <v>1</v>
      </c>
      <c r="G73" s="5"/>
      <c r="H73" s="6"/>
      <c r="I73" s="9">
        <f>max(0,floor(VLookup(LEFT(I72,3),AbilityScores,9,false)/(if($BL$29&lt;10,2,1))))</f>
        <v>1</v>
      </c>
      <c r="J73" s="5"/>
      <c r="K73" s="6"/>
      <c r="L73" s="46"/>
      <c r="M73" s="5"/>
      <c r="N73" s="6"/>
      <c r="O73" s="16"/>
      <c r="P73" s="2"/>
      <c r="Q73" s="2"/>
      <c r="R73" s="2"/>
      <c r="S73" s="4" t="s">
        <v>99</v>
      </c>
      <c r="T73" s="5"/>
      <c r="U73" s="5"/>
      <c r="V73" s="5"/>
      <c r="W73" s="5"/>
      <c r="X73" s="6"/>
      <c r="Y73" s="26">
        <f>10+AD73+AG73+AJ73</f>
        <v>14</v>
      </c>
      <c r="Z73" s="5"/>
      <c r="AA73" s="6"/>
      <c r="AB73" s="20" t="s">
        <v>90</v>
      </c>
      <c r="AD73" s="9">
        <f>VLookup(AB73,AbilityScores,9,false)</f>
        <v>0</v>
      </c>
      <c r="AE73" s="5"/>
      <c r="AF73" s="6"/>
      <c r="AG73" s="47">
        <f>$AC$9</f>
        <v>4</v>
      </c>
      <c r="AH73" s="5"/>
      <c r="AI73" s="6"/>
      <c r="AJ73" s="46"/>
      <c r="AK73" s="5"/>
      <c r="AL73" s="6"/>
      <c r="AM73" s="1"/>
      <c r="AN73" s="59"/>
      <c r="AU73" s="34"/>
      <c r="AV73" s="1"/>
      <c r="BA73" s="11"/>
      <c r="BB73" s="12"/>
      <c r="BC73" s="12"/>
      <c r="BD73" s="12"/>
      <c r="BE73" s="12"/>
      <c r="BF73" s="12"/>
      <c r="BG73" s="12"/>
      <c r="BH73" s="12"/>
      <c r="BI73" s="12"/>
      <c r="BJ73" s="12"/>
      <c r="BK73" s="12"/>
      <c r="BL73" s="12"/>
      <c r="BM73" s="12"/>
      <c r="BN73" s="12"/>
      <c r="BO73" s="12"/>
      <c r="BP73" s="12"/>
      <c r="BQ73" s="12"/>
      <c r="BR73" s="12"/>
      <c r="BS73" s="12"/>
      <c r="BT73" s="12"/>
      <c r="BU73" s="13"/>
      <c r="BV73" s="1"/>
      <c r="BW73" s="1"/>
      <c r="BX73" s="59"/>
      <c r="CN73" s="34"/>
      <c r="CO73" s="1"/>
      <c r="CP73" s="1"/>
    </row>
    <row r="74" ht="11.25" customHeight="1">
      <c r="A74" s="1"/>
      <c r="B74" s="1"/>
      <c r="C74" s="11"/>
      <c r="D74" s="12"/>
      <c r="E74" s="13"/>
      <c r="F74" s="11"/>
      <c r="G74" s="12"/>
      <c r="H74" s="13"/>
      <c r="I74" s="11"/>
      <c r="J74" s="12"/>
      <c r="K74" s="13"/>
      <c r="L74" s="11"/>
      <c r="M74" s="12"/>
      <c r="N74" s="13"/>
      <c r="O74" s="16"/>
      <c r="P74" s="2"/>
      <c r="Q74" s="2"/>
      <c r="R74" s="2"/>
      <c r="S74" s="11"/>
      <c r="T74" s="12"/>
      <c r="U74" s="12"/>
      <c r="V74" s="12"/>
      <c r="W74" s="12"/>
      <c r="X74" s="13"/>
      <c r="Y74" s="11"/>
      <c r="Z74" s="12"/>
      <c r="AA74" s="13"/>
      <c r="AD74" s="11"/>
      <c r="AE74" s="12"/>
      <c r="AF74" s="13"/>
      <c r="AG74" s="11"/>
      <c r="AH74" s="12"/>
      <c r="AI74" s="13"/>
      <c r="AJ74" s="11"/>
      <c r="AK74" s="12"/>
      <c r="AL74" s="13"/>
      <c r="AM74" s="1"/>
      <c r="AN74" s="59"/>
      <c r="AU74" s="34"/>
      <c r="AV74" s="1"/>
      <c r="AW74" s="18" t="s">
        <v>30</v>
      </c>
      <c r="BA74" s="14"/>
      <c r="BB74" s="5"/>
      <c r="BC74" s="5"/>
      <c r="BD74" s="5"/>
      <c r="BE74" s="5"/>
      <c r="BF74" s="5"/>
      <c r="BG74" s="5"/>
      <c r="BH74" s="5"/>
      <c r="BI74" s="5"/>
      <c r="BJ74" s="5"/>
      <c r="BK74" s="5"/>
      <c r="BL74" s="5"/>
      <c r="BM74" s="5"/>
      <c r="BN74" s="5"/>
      <c r="BO74" s="5"/>
      <c r="BP74" s="5"/>
      <c r="BQ74" s="5"/>
      <c r="BR74" s="5"/>
      <c r="BS74" s="5"/>
      <c r="BT74" s="5"/>
      <c r="BU74" s="6"/>
      <c r="BV74" s="1"/>
      <c r="BW74" s="1"/>
      <c r="BX74" s="59"/>
      <c r="CN74" s="34"/>
      <c r="CO74" s="1"/>
      <c r="CP74" s="1"/>
    </row>
    <row r="75" ht="11.25" customHeight="1">
      <c r="A75" s="1"/>
      <c r="B75" s="1"/>
      <c r="C75" s="15"/>
      <c r="D75" s="15"/>
      <c r="E75" s="15"/>
      <c r="F75" s="16" t="s">
        <v>35</v>
      </c>
      <c r="I75" s="16"/>
      <c r="J75" s="16"/>
      <c r="K75" s="60" t="s">
        <v>32</v>
      </c>
      <c r="N75" s="60" t="s">
        <v>14</v>
      </c>
      <c r="Q75" s="61" t="s">
        <v>17</v>
      </c>
      <c r="T75" s="60" t="s">
        <v>130</v>
      </c>
      <c r="W75" s="60" t="s">
        <v>131</v>
      </c>
      <c r="Z75" s="62" t="s">
        <v>30</v>
      </c>
      <c r="AC75" s="1"/>
      <c r="AD75" s="1"/>
      <c r="AE75" s="1"/>
      <c r="AF75" s="1"/>
      <c r="AG75" s="1"/>
      <c r="AH75" s="1"/>
      <c r="AI75" s="1"/>
      <c r="AJ75" s="1"/>
      <c r="AK75" s="1"/>
      <c r="AL75" s="1"/>
      <c r="AM75" s="1"/>
      <c r="AN75" s="59"/>
      <c r="AU75" s="34"/>
      <c r="AV75" s="1"/>
      <c r="BA75" s="11"/>
      <c r="BB75" s="12"/>
      <c r="BC75" s="12"/>
      <c r="BD75" s="12"/>
      <c r="BE75" s="12"/>
      <c r="BF75" s="12"/>
      <c r="BG75" s="12"/>
      <c r="BH75" s="12"/>
      <c r="BI75" s="12"/>
      <c r="BJ75" s="12"/>
      <c r="BK75" s="12"/>
      <c r="BL75" s="12"/>
      <c r="BM75" s="12"/>
      <c r="BN75" s="12"/>
      <c r="BO75" s="12"/>
      <c r="BP75" s="12"/>
      <c r="BQ75" s="12"/>
      <c r="BR75" s="12"/>
      <c r="BS75" s="12"/>
      <c r="BT75" s="12"/>
      <c r="BU75" s="13"/>
      <c r="BV75" s="1"/>
      <c r="BW75" s="1"/>
      <c r="BX75" s="59"/>
      <c r="CN75" s="34"/>
      <c r="CO75" s="1"/>
      <c r="CP75" s="1"/>
    </row>
    <row r="76" ht="11.25" customHeight="1">
      <c r="A76" s="1"/>
      <c r="B76" s="1"/>
      <c r="C76" s="4" t="s">
        <v>132</v>
      </c>
      <c r="D76" s="5"/>
      <c r="E76" s="6"/>
      <c r="F76" s="26">
        <f>I76+K76+N76+Q76+T76+W76+Z76</f>
        <v>19</v>
      </c>
      <c r="G76" s="5"/>
      <c r="H76" s="6"/>
      <c r="I76" s="18">
        <v>10.0</v>
      </c>
      <c r="K76" s="9">
        <f>$W$38</f>
        <v>4</v>
      </c>
      <c r="L76" s="5"/>
      <c r="M76" s="6"/>
      <c r="N76" s="63">
        <f>$AC$9</f>
        <v>4</v>
      </c>
      <c r="O76" s="5"/>
      <c r="P76" s="6"/>
      <c r="Q76" s="63">
        <f>SWITCH($Q$11,"Average",0,"Small",1,IF($AS$11="Yes",-1,0))</f>
        <v>0</v>
      </c>
      <c r="R76" s="5"/>
      <c r="S76" s="6"/>
      <c r="T76" s="14">
        <f>IF($AC$9&gt;=11,3,1)</f>
        <v>1</v>
      </c>
      <c r="U76" s="5"/>
      <c r="V76" s="6"/>
      <c r="W76" s="14"/>
      <c r="X76" s="5"/>
      <c r="Y76" s="6"/>
      <c r="Z76" s="14"/>
      <c r="AA76" s="5"/>
      <c r="AB76" s="6"/>
      <c r="AC76" s="18"/>
      <c r="AD76" s="18"/>
      <c r="AE76" s="18"/>
      <c r="AF76" s="1"/>
      <c r="AG76" s="1"/>
      <c r="AH76" s="1"/>
      <c r="AI76" s="1"/>
      <c r="AJ76" s="1"/>
      <c r="AK76" s="1"/>
      <c r="AL76" s="1"/>
      <c r="AM76" s="1"/>
      <c r="AN76" s="59"/>
      <c r="AU76" s="34"/>
      <c r="AV76" s="1"/>
      <c r="BA76" s="14"/>
      <c r="BB76" s="5"/>
      <c r="BC76" s="5"/>
      <c r="BD76" s="5"/>
      <c r="BE76" s="5"/>
      <c r="BF76" s="5"/>
      <c r="BG76" s="5"/>
      <c r="BH76" s="5"/>
      <c r="BI76" s="5"/>
      <c r="BJ76" s="5"/>
      <c r="BK76" s="5"/>
      <c r="BL76" s="5"/>
      <c r="BM76" s="5"/>
      <c r="BN76" s="5"/>
      <c r="BO76" s="5"/>
      <c r="BP76" s="5"/>
      <c r="BQ76" s="5"/>
      <c r="BR76" s="5"/>
      <c r="BS76" s="5"/>
      <c r="BT76" s="5"/>
      <c r="BU76" s="6"/>
      <c r="BV76" s="1"/>
      <c r="BW76" s="1"/>
      <c r="BX76" s="59"/>
      <c r="CN76" s="34"/>
      <c r="CO76" s="1"/>
      <c r="CP76" s="1"/>
    </row>
    <row r="77" ht="11.25" customHeight="1">
      <c r="A77" s="1"/>
      <c r="B77" s="1"/>
      <c r="C77" s="11"/>
      <c r="D77" s="12"/>
      <c r="E77" s="13"/>
      <c r="F77" s="11"/>
      <c r="G77" s="12"/>
      <c r="H77" s="13"/>
      <c r="K77" s="11"/>
      <c r="L77" s="12"/>
      <c r="M77" s="13"/>
      <c r="N77" s="11"/>
      <c r="O77" s="12"/>
      <c r="P77" s="13"/>
      <c r="Q77" s="11"/>
      <c r="R77" s="12"/>
      <c r="S77" s="13"/>
      <c r="T77" s="11"/>
      <c r="U77" s="12"/>
      <c r="V77" s="13"/>
      <c r="W77" s="11"/>
      <c r="X77" s="12"/>
      <c r="Y77" s="13"/>
      <c r="Z77" s="11"/>
      <c r="AA77" s="12"/>
      <c r="AB77" s="13"/>
      <c r="AC77" s="18"/>
      <c r="AD77" s="18"/>
      <c r="AE77" s="18"/>
      <c r="AF77" s="1"/>
      <c r="AG77" s="1"/>
      <c r="AH77" s="1"/>
      <c r="AI77" s="1"/>
      <c r="AJ77" s="1"/>
      <c r="AK77" s="1"/>
      <c r="AL77" s="1"/>
      <c r="AM77" s="1"/>
      <c r="AN77" s="11"/>
      <c r="AO77" s="12"/>
      <c r="AP77" s="12"/>
      <c r="AQ77" s="12"/>
      <c r="AR77" s="12"/>
      <c r="AS77" s="12"/>
      <c r="AT77" s="12"/>
      <c r="AU77" s="13"/>
      <c r="AV77" s="1"/>
      <c r="BA77" s="11"/>
      <c r="BB77" s="12"/>
      <c r="BC77" s="12"/>
      <c r="BD77" s="12"/>
      <c r="BE77" s="12"/>
      <c r="BF77" s="12"/>
      <c r="BG77" s="12"/>
      <c r="BH77" s="12"/>
      <c r="BI77" s="12"/>
      <c r="BJ77" s="12"/>
      <c r="BK77" s="12"/>
      <c r="BL77" s="12"/>
      <c r="BM77" s="12"/>
      <c r="BN77" s="12"/>
      <c r="BO77" s="12"/>
      <c r="BP77" s="12"/>
      <c r="BQ77" s="12"/>
      <c r="BR77" s="12"/>
      <c r="BS77" s="12"/>
      <c r="BT77" s="12"/>
      <c r="BU77" s="13"/>
      <c r="BV77" s="1"/>
      <c r="BW77" s="1"/>
      <c r="BX77" s="59"/>
      <c r="CN77" s="34"/>
      <c r="CO77" s="1"/>
      <c r="CP77" s="1"/>
    </row>
    <row r="78" ht="11.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59"/>
      <c r="CN78" s="34"/>
      <c r="CO78" s="1"/>
      <c r="CP78" s="1"/>
    </row>
    <row r="79" ht="11.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59"/>
      <c r="CN79" s="34"/>
      <c r="CO79" s="1"/>
      <c r="CP79" s="1"/>
    </row>
    <row r="80" ht="11.25" customHeight="1">
      <c r="A80" s="1"/>
      <c r="B80" s="1"/>
      <c r="C80" s="8" t="s">
        <v>133</v>
      </c>
      <c r="AR80" s="1"/>
      <c r="AS80" s="1"/>
      <c r="AT80" s="8" t="s">
        <v>134</v>
      </c>
      <c r="BV80" s="1"/>
      <c r="BW80" s="1"/>
      <c r="BX80" s="59"/>
      <c r="CN80" s="34"/>
      <c r="CO80" s="1"/>
      <c r="CP80" s="1"/>
    </row>
    <row r="81" ht="11.25" customHeight="1">
      <c r="A81" s="1"/>
      <c r="B81" s="1"/>
      <c r="AR81" s="1"/>
      <c r="AS81" s="1"/>
      <c r="BV81" s="1"/>
      <c r="BW81" s="1"/>
      <c r="BX81" s="59"/>
      <c r="CN81" s="34"/>
      <c r="CO81" s="1"/>
      <c r="CP81" s="1"/>
    </row>
    <row r="82" ht="11.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59"/>
      <c r="CN82" s="34"/>
      <c r="CO82" s="1"/>
      <c r="CP82" s="1"/>
    </row>
    <row r="83" ht="11.25" customHeight="1">
      <c r="A83" s="1"/>
      <c r="B83" s="1"/>
      <c r="C83" s="4" t="s">
        <v>135</v>
      </c>
      <c r="D83" s="5"/>
      <c r="E83" s="5"/>
      <c r="F83" s="5"/>
      <c r="G83" s="5"/>
      <c r="H83" s="6"/>
      <c r="I83" s="14" t="s">
        <v>136</v>
      </c>
      <c r="J83" s="5"/>
      <c r="K83" s="5"/>
      <c r="L83" s="5"/>
      <c r="M83" s="5"/>
      <c r="N83" s="5"/>
      <c r="O83" s="5"/>
      <c r="P83" s="5"/>
      <c r="Q83" s="5"/>
      <c r="R83" s="5"/>
      <c r="S83" s="5"/>
      <c r="T83" s="5"/>
      <c r="U83" s="5"/>
      <c r="V83" s="5"/>
      <c r="W83" s="5"/>
      <c r="X83" s="5"/>
      <c r="Y83" s="5"/>
      <c r="Z83" s="5"/>
      <c r="AA83" s="5"/>
      <c r="AB83" s="5"/>
      <c r="AC83" s="5"/>
      <c r="AD83" s="5"/>
      <c r="AE83" s="6"/>
      <c r="AF83" s="1"/>
      <c r="AG83" s="4" t="s">
        <v>69</v>
      </c>
      <c r="AH83" s="5"/>
      <c r="AI83" s="5"/>
      <c r="AJ83" s="5"/>
      <c r="AK83" s="6"/>
      <c r="AL83" s="46">
        <f>$AL$36</f>
        <v>5</v>
      </c>
      <c r="AM83" s="5"/>
      <c r="AN83" s="5"/>
      <c r="AO83" s="5"/>
      <c r="AP83" s="5"/>
      <c r="AQ83" s="6"/>
      <c r="AR83" s="1"/>
      <c r="AS83" s="1"/>
      <c r="AT83" s="14" t="s">
        <v>137</v>
      </c>
      <c r="AU83" s="5"/>
      <c r="AV83" s="5"/>
      <c r="AW83" s="5"/>
      <c r="AX83" s="5"/>
      <c r="AY83" s="5"/>
      <c r="AZ83" s="5"/>
      <c r="BA83" s="5"/>
      <c r="BB83" s="5"/>
      <c r="BC83" s="5"/>
      <c r="BD83" s="5"/>
      <c r="BE83" s="5"/>
      <c r="BF83" s="5"/>
      <c r="BG83" s="6"/>
      <c r="BH83" s="46"/>
      <c r="BI83" s="5"/>
      <c r="BJ83" s="5"/>
      <c r="BK83" s="5"/>
      <c r="BL83" s="5"/>
      <c r="BM83" s="5"/>
      <c r="BN83" s="5"/>
      <c r="BO83" s="5"/>
      <c r="BP83" s="5"/>
      <c r="BQ83" s="5"/>
      <c r="BR83" s="5"/>
      <c r="BS83" s="5"/>
      <c r="BT83" s="5"/>
      <c r="BU83" s="6"/>
      <c r="BV83" s="1"/>
      <c r="BW83" s="1"/>
      <c r="BX83" s="11"/>
      <c r="BY83" s="12"/>
      <c r="BZ83" s="12"/>
      <c r="CA83" s="12"/>
      <c r="CB83" s="12"/>
      <c r="CC83" s="12"/>
      <c r="CD83" s="12"/>
      <c r="CE83" s="12"/>
      <c r="CF83" s="12"/>
      <c r="CG83" s="12"/>
      <c r="CH83" s="12"/>
      <c r="CI83" s="12"/>
      <c r="CJ83" s="12"/>
      <c r="CK83" s="12"/>
      <c r="CL83" s="12"/>
      <c r="CM83" s="12"/>
      <c r="CN83" s="13"/>
      <c r="CO83" s="1"/>
      <c r="CP83" s="1"/>
    </row>
    <row r="84" ht="11.25" customHeight="1">
      <c r="A84" s="1"/>
      <c r="B84" s="1"/>
      <c r="C84" s="11"/>
      <c r="D84" s="12"/>
      <c r="E84" s="12"/>
      <c r="F84" s="12"/>
      <c r="G84" s="12"/>
      <c r="H84" s="13"/>
      <c r="I84" s="11"/>
      <c r="J84" s="12"/>
      <c r="K84" s="12"/>
      <c r="L84" s="12"/>
      <c r="M84" s="12"/>
      <c r="N84" s="12"/>
      <c r="O84" s="12"/>
      <c r="P84" s="12"/>
      <c r="Q84" s="12"/>
      <c r="R84" s="12"/>
      <c r="S84" s="12"/>
      <c r="T84" s="12"/>
      <c r="U84" s="12"/>
      <c r="V84" s="12"/>
      <c r="W84" s="12"/>
      <c r="X84" s="12"/>
      <c r="Y84" s="12"/>
      <c r="Z84" s="12"/>
      <c r="AA84" s="12"/>
      <c r="AB84" s="12"/>
      <c r="AC84" s="12"/>
      <c r="AD84" s="12"/>
      <c r="AE84" s="13"/>
      <c r="AF84" s="1"/>
      <c r="AG84" s="11"/>
      <c r="AH84" s="12"/>
      <c r="AI84" s="12"/>
      <c r="AJ84" s="12"/>
      <c r="AK84" s="13"/>
      <c r="AL84" s="11"/>
      <c r="AM84" s="12"/>
      <c r="AN84" s="12"/>
      <c r="AO84" s="12"/>
      <c r="AP84" s="12"/>
      <c r="AQ84" s="13"/>
      <c r="AR84" s="1"/>
      <c r="AS84" s="1"/>
      <c r="AT84" s="11"/>
      <c r="AU84" s="12"/>
      <c r="AV84" s="12"/>
      <c r="AW84" s="12"/>
      <c r="AX84" s="12"/>
      <c r="AY84" s="12"/>
      <c r="AZ84" s="12"/>
      <c r="BA84" s="12"/>
      <c r="BB84" s="12"/>
      <c r="BC84" s="12"/>
      <c r="BD84" s="12"/>
      <c r="BE84" s="12"/>
      <c r="BF84" s="12"/>
      <c r="BG84" s="13"/>
      <c r="BH84" s="11"/>
      <c r="BI84" s="12"/>
      <c r="BJ84" s="12"/>
      <c r="BK84" s="12"/>
      <c r="BL84" s="12"/>
      <c r="BM84" s="12"/>
      <c r="BN84" s="12"/>
      <c r="BO84" s="12"/>
      <c r="BP84" s="12"/>
      <c r="BQ84" s="12"/>
      <c r="BR84" s="12"/>
      <c r="BS84" s="12"/>
      <c r="BT84" s="12"/>
      <c r="BU84" s="13"/>
      <c r="BV84" s="1"/>
      <c r="BW84" s="1"/>
      <c r="BX84" s="1"/>
      <c r="BY84" s="1"/>
      <c r="BZ84" s="1"/>
      <c r="CA84" s="1"/>
      <c r="CB84" s="1"/>
      <c r="CC84" s="1"/>
      <c r="CD84" s="1"/>
      <c r="CE84" s="1"/>
      <c r="CF84" s="1"/>
      <c r="CG84" s="1"/>
      <c r="CH84" s="1"/>
      <c r="CI84" s="1"/>
      <c r="CJ84" s="1"/>
      <c r="CK84" s="1"/>
      <c r="CL84" s="1"/>
      <c r="CM84" s="1"/>
      <c r="CN84" s="1"/>
      <c r="CO84" s="1"/>
      <c r="CP84" s="1"/>
    </row>
    <row r="85" ht="11.25" customHeight="1">
      <c r="A85" s="1"/>
      <c r="B85" s="1"/>
      <c r="C85" s="1"/>
      <c r="D85" s="1"/>
      <c r="E85" s="1"/>
      <c r="F85" s="1"/>
      <c r="G85" s="1"/>
      <c r="H85" s="20" t="s">
        <v>35</v>
      </c>
      <c r="K85" s="20" t="s">
        <v>91</v>
      </c>
      <c r="N85" s="20" t="s">
        <v>74</v>
      </c>
      <c r="Q85" s="20" t="s">
        <v>130</v>
      </c>
      <c r="T85" s="20" t="s">
        <v>30</v>
      </c>
      <c r="W85" s="1"/>
      <c r="X85" s="1"/>
      <c r="Y85" s="1"/>
      <c r="Z85" s="1"/>
      <c r="AA85" s="1"/>
      <c r="AB85" s="1"/>
      <c r="AC85" s="20" t="s">
        <v>35</v>
      </c>
      <c r="AF85" s="20" t="s">
        <v>74</v>
      </c>
      <c r="AI85" s="20" t="s">
        <v>138</v>
      </c>
      <c r="AL85" s="20" t="s">
        <v>139</v>
      </c>
      <c r="AO85" s="20" t="s">
        <v>30</v>
      </c>
      <c r="AR85" s="1"/>
      <c r="AS85" s="1"/>
      <c r="AT85" s="46"/>
      <c r="AU85" s="5"/>
      <c r="AV85" s="5"/>
      <c r="AW85" s="5"/>
      <c r="AX85" s="5"/>
      <c r="AY85" s="5"/>
      <c r="AZ85" s="5"/>
      <c r="BA85" s="5"/>
      <c r="BB85" s="5"/>
      <c r="BC85" s="5"/>
      <c r="BD85" s="5"/>
      <c r="BE85" s="5"/>
      <c r="BF85" s="5"/>
      <c r="BG85" s="6"/>
      <c r="BH85" s="46"/>
      <c r="BI85" s="5"/>
      <c r="BJ85" s="5"/>
      <c r="BK85" s="5"/>
      <c r="BL85" s="5"/>
      <c r="BM85" s="5"/>
      <c r="BN85" s="5"/>
      <c r="BO85" s="5"/>
      <c r="BP85" s="5"/>
      <c r="BQ85" s="5"/>
      <c r="BR85" s="5"/>
      <c r="BS85" s="5"/>
      <c r="BT85" s="5"/>
      <c r="BU85" s="6"/>
      <c r="BV85" s="1"/>
      <c r="BW85" s="1"/>
      <c r="BX85" s="1"/>
      <c r="BY85" s="1"/>
      <c r="BZ85" s="1"/>
      <c r="CA85" s="1"/>
      <c r="CB85" s="1"/>
      <c r="CC85" s="1"/>
      <c r="CD85" s="1"/>
      <c r="CE85" s="1"/>
      <c r="CF85" s="1"/>
      <c r="CG85" s="1"/>
      <c r="CH85" s="1"/>
      <c r="CI85" s="1"/>
      <c r="CJ85" s="1"/>
      <c r="CK85" s="1"/>
      <c r="CL85" s="1"/>
      <c r="CM85" s="1"/>
      <c r="CN85" s="1"/>
      <c r="CO85" s="1"/>
      <c r="CP85" s="1"/>
    </row>
    <row r="86" ht="11.25" customHeight="1">
      <c r="A86" s="1"/>
      <c r="B86" s="1"/>
      <c r="C86" s="4" t="s">
        <v>140</v>
      </c>
      <c r="D86" s="5"/>
      <c r="E86" s="5"/>
      <c r="F86" s="5"/>
      <c r="G86" s="6"/>
      <c r="H86" s="26">
        <f>Sum(K86:T86)</f>
        <v>7</v>
      </c>
      <c r="I86" s="5"/>
      <c r="J86" s="6"/>
      <c r="K86" s="9">
        <f>$H$47</f>
        <v>4</v>
      </c>
      <c r="L86" s="5"/>
      <c r="M86" s="6"/>
      <c r="N86" s="9">
        <f>$H$38</f>
        <v>3</v>
      </c>
      <c r="O86" s="5"/>
      <c r="P86" s="6"/>
      <c r="Q86" s="46"/>
      <c r="R86" s="5"/>
      <c r="S86" s="6"/>
      <c r="T86" s="46"/>
      <c r="U86" s="5"/>
      <c r="V86" s="6"/>
      <c r="W86" s="1"/>
      <c r="X86" s="4" t="s">
        <v>141</v>
      </c>
      <c r="Y86" s="5"/>
      <c r="Z86" s="5"/>
      <c r="AA86" s="5"/>
      <c r="AB86" s="6"/>
      <c r="AC86" s="26">
        <f>Sum(AF86:AO86)</f>
        <v>6</v>
      </c>
      <c r="AD86" s="5"/>
      <c r="AE86" s="6"/>
      <c r="AF86" s="9">
        <f>$H$38</f>
        <v>3</v>
      </c>
      <c r="AG86" s="5"/>
      <c r="AH86" s="6"/>
      <c r="AI86" s="9">
        <f>max(0,floor(VLookup("STR",AbilityScores,9,false)/2))</f>
        <v>0</v>
      </c>
      <c r="AJ86" s="5"/>
      <c r="AK86" s="6"/>
      <c r="AL86" s="46">
        <f>$CC$20</f>
        <v>3</v>
      </c>
      <c r="AM86" s="5"/>
      <c r="AN86" s="6"/>
      <c r="AO86" s="46"/>
      <c r="AP86" s="5"/>
      <c r="AQ86" s="6"/>
      <c r="AR86" s="1"/>
      <c r="AS86" s="1"/>
      <c r="AT86" s="11"/>
      <c r="AU86" s="12"/>
      <c r="AV86" s="12"/>
      <c r="AW86" s="12"/>
      <c r="AX86" s="12"/>
      <c r="AY86" s="12"/>
      <c r="AZ86" s="12"/>
      <c r="BA86" s="12"/>
      <c r="BB86" s="12"/>
      <c r="BC86" s="12"/>
      <c r="BD86" s="12"/>
      <c r="BE86" s="12"/>
      <c r="BF86" s="12"/>
      <c r="BG86" s="13"/>
      <c r="BH86" s="11"/>
      <c r="BI86" s="12"/>
      <c r="BJ86" s="12"/>
      <c r="BK86" s="12"/>
      <c r="BL86" s="12"/>
      <c r="BM86" s="12"/>
      <c r="BN86" s="12"/>
      <c r="BO86" s="12"/>
      <c r="BP86" s="12"/>
      <c r="BQ86" s="12"/>
      <c r="BR86" s="12"/>
      <c r="BS86" s="12"/>
      <c r="BT86" s="12"/>
      <c r="BU86" s="13"/>
      <c r="BV86" s="1"/>
      <c r="BW86" s="1"/>
      <c r="BX86" s="56" t="s">
        <v>142</v>
      </c>
      <c r="BY86" s="5"/>
      <c r="BZ86" s="5"/>
      <c r="CA86" s="5"/>
      <c r="CB86" s="5"/>
      <c r="CC86" s="5"/>
      <c r="CD86" s="5"/>
      <c r="CE86" s="5"/>
      <c r="CF86" s="5"/>
      <c r="CG86" s="5"/>
      <c r="CH86" s="5"/>
      <c r="CI86" s="5"/>
      <c r="CJ86" s="5"/>
      <c r="CK86" s="5"/>
      <c r="CL86" s="5"/>
      <c r="CM86" s="5"/>
      <c r="CN86" s="6"/>
      <c r="CO86" s="1"/>
      <c r="CP86" s="1"/>
    </row>
    <row r="87" ht="11.25" customHeight="1">
      <c r="A87" s="1"/>
      <c r="B87" s="1"/>
      <c r="C87" s="11"/>
      <c r="D87" s="12"/>
      <c r="E87" s="12"/>
      <c r="F87" s="12"/>
      <c r="G87" s="13"/>
      <c r="H87" s="11"/>
      <c r="I87" s="12"/>
      <c r="J87" s="13"/>
      <c r="K87" s="11"/>
      <c r="L87" s="12"/>
      <c r="M87" s="13"/>
      <c r="N87" s="11"/>
      <c r="O87" s="12"/>
      <c r="P87" s="13"/>
      <c r="Q87" s="11"/>
      <c r="R87" s="12"/>
      <c r="S87" s="13"/>
      <c r="T87" s="11"/>
      <c r="U87" s="12"/>
      <c r="V87" s="13"/>
      <c r="W87" s="1"/>
      <c r="X87" s="11"/>
      <c r="Y87" s="12"/>
      <c r="Z87" s="12"/>
      <c r="AA87" s="12"/>
      <c r="AB87" s="13"/>
      <c r="AC87" s="11"/>
      <c r="AD87" s="12"/>
      <c r="AE87" s="13"/>
      <c r="AF87" s="11"/>
      <c r="AG87" s="12"/>
      <c r="AH87" s="13"/>
      <c r="AI87" s="11"/>
      <c r="AJ87" s="12"/>
      <c r="AK87" s="13"/>
      <c r="AL87" s="11"/>
      <c r="AM87" s="12"/>
      <c r="AN87" s="13"/>
      <c r="AO87" s="11"/>
      <c r="AP87" s="12"/>
      <c r="AQ87" s="13"/>
      <c r="AR87" s="1"/>
      <c r="AS87" s="1"/>
      <c r="AT87" s="46"/>
      <c r="AU87" s="5"/>
      <c r="AV87" s="5"/>
      <c r="AW87" s="5"/>
      <c r="AX87" s="5"/>
      <c r="AY87" s="5"/>
      <c r="AZ87" s="5"/>
      <c r="BA87" s="5"/>
      <c r="BB87" s="5"/>
      <c r="BC87" s="5"/>
      <c r="BD87" s="5"/>
      <c r="BE87" s="5"/>
      <c r="BF87" s="5"/>
      <c r="BG87" s="6"/>
      <c r="BH87" s="46"/>
      <c r="BI87" s="5"/>
      <c r="BJ87" s="5"/>
      <c r="BK87" s="5"/>
      <c r="BL87" s="5"/>
      <c r="BM87" s="5"/>
      <c r="BN87" s="5"/>
      <c r="BO87" s="5"/>
      <c r="BP87" s="5"/>
      <c r="BQ87" s="5"/>
      <c r="BR87" s="5"/>
      <c r="BS87" s="5"/>
      <c r="BT87" s="5"/>
      <c r="BU87" s="6"/>
      <c r="BV87" s="1"/>
      <c r="BW87" s="1"/>
      <c r="BX87" s="11"/>
      <c r="BY87" s="12"/>
      <c r="BZ87" s="12"/>
      <c r="CA87" s="12"/>
      <c r="CB87" s="12"/>
      <c r="CC87" s="12"/>
      <c r="CD87" s="12"/>
      <c r="CE87" s="12"/>
      <c r="CF87" s="12"/>
      <c r="CG87" s="12"/>
      <c r="CH87" s="12"/>
      <c r="CI87" s="12"/>
      <c r="CJ87" s="12"/>
      <c r="CK87" s="12"/>
      <c r="CL87" s="12"/>
      <c r="CM87" s="12"/>
      <c r="CN87" s="13"/>
      <c r="CO87" s="1"/>
      <c r="CP87" s="1"/>
    </row>
    <row r="88" ht="11.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1"/>
      <c r="AU88" s="12"/>
      <c r="AV88" s="12"/>
      <c r="AW88" s="12"/>
      <c r="AX88" s="12"/>
      <c r="AY88" s="12"/>
      <c r="AZ88" s="12"/>
      <c r="BA88" s="12"/>
      <c r="BB88" s="12"/>
      <c r="BC88" s="12"/>
      <c r="BD88" s="12"/>
      <c r="BE88" s="12"/>
      <c r="BF88" s="12"/>
      <c r="BG88" s="13"/>
      <c r="BH88" s="11"/>
      <c r="BI88" s="12"/>
      <c r="BJ88" s="12"/>
      <c r="BK88" s="12"/>
      <c r="BL88" s="12"/>
      <c r="BM88" s="12"/>
      <c r="BN88" s="12"/>
      <c r="BO88" s="12"/>
      <c r="BP88" s="12"/>
      <c r="BQ88" s="12"/>
      <c r="BR88" s="12"/>
      <c r="BS88" s="12"/>
      <c r="BT88" s="12"/>
      <c r="BU88" s="13"/>
      <c r="BV88" s="1"/>
      <c r="BW88" s="1"/>
      <c r="BX88" s="64" t="str">
        <f>CONCATENATE("LESSER: Healing Potion",IF($BL$23&gt;0,", Firebrand",""),IF($BL$32&gt;0,", Hollow Horn",""),IF($BL$34&gt;0,", Floating Eye, Meat Grenade",""),IF($BL$36&gt;0,", Granite Spike",""),IF($BL$38&gt;0,", What Someone Else Knew",""),IF($BL$42&gt;0,", Instant Tree",""),IF($BL$51&gt;0,", Curious Monocle",""),char(10),char(10),"GREATER: Formal Favor, Gloss Armor, Tiny Model",IF($BL$23&gt;0,", Friends in Low Places",""),IF($BL$34&gt;0,", Brush Shield, Canned Lightning, Daedelic Wings, Intricate Headgear",""),IF($BL$36&gt;0,", Affable Cube, Shape Earth",""),IF($BL$38&gt;0,", Spirit's Shielding",""),IF($BL$42&gt;0,", Strange Acid Flask",""),IF($BL$47&gt;0,", Limited Diplomatic Immunity",""),IF($BL$51&gt;0,", Wolf Totem",""),char(10),char(10),"RELIC: Rusted Ring",IF($BL$32&gt;0,", Illusory Terrain",""))</f>
        <v>LESSER: Healing Potion, Curious Monocle
GREATER: Formal Favor, Gloss Armor, Tiny Model, Wolf Totem
RELIC: Rusted Ring</v>
      </c>
      <c r="CN88" s="34"/>
      <c r="CO88" s="1"/>
      <c r="CP88" s="1"/>
    </row>
    <row r="89" ht="11.25" customHeight="1">
      <c r="A89" s="1"/>
      <c r="B89" s="1"/>
      <c r="C89" s="4" t="s">
        <v>143</v>
      </c>
      <c r="D89" s="5"/>
      <c r="E89" s="5"/>
      <c r="F89" s="5"/>
      <c r="G89" s="5"/>
      <c r="H89" s="6"/>
      <c r="I89" s="14" t="s">
        <v>144</v>
      </c>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6"/>
      <c r="AR89" s="1"/>
      <c r="AS89" s="1"/>
      <c r="AT89" s="46"/>
      <c r="AU89" s="5"/>
      <c r="AV89" s="5"/>
      <c r="AW89" s="5"/>
      <c r="AX89" s="5"/>
      <c r="AY89" s="5"/>
      <c r="AZ89" s="5"/>
      <c r="BA89" s="5"/>
      <c r="BB89" s="5"/>
      <c r="BC89" s="5"/>
      <c r="BD89" s="5"/>
      <c r="BE89" s="5"/>
      <c r="BF89" s="5"/>
      <c r="BG89" s="6"/>
      <c r="BH89" s="46"/>
      <c r="BI89" s="5"/>
      <c r="BJ89" s="5"/>
      <c r="BK89" s="5"/>
      <c r="BL89" s="5"/>
      <c r="BM89" s="5"/>
      <c r="BN89" s="5"/>
      <c r="BO89" s="5"/>
      <c r="BP89" s="5"/>
      <c r="BQ89" s="5"/>
      <c r="BR89" s="5"/>
      <c r="BS89" s="5"/>
      <c r="BT89" s="5"/>
      <c r="BU89" s="6"/>
      <c r="BV89" s="1"/>
      <c r="BW89" s="1"/>
      <c r="BX89" s="59"/>
      <c r="CN89" s="34"/>
      <c r="CO89" s="1"/>
      <c r="CP89" s="1"/>
    </row>
    <row r="90" ht="11.25" customHeight="1">
      <c r="A90" s="1"/>
      <c r="B90" s="1"/>
      <c r="C90" s="11"/>
      <c r="D90" s="12"/>
      <c r="E90" s="12"/>
      <c r="F90" s="12"/>
      <c r="G90" s="12"/>
      <c r="H90" s="13"/>
      <c r="I90" s="11"/>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3"/>
      <c r="AR90" s="1"/>
      <c r="AS90" s="1"/>
      <c r="AT90" s="11"/>
      <c r="AU90" s="12"/>
      <c r="AV90" s="12"/>
      <c r="AW90" s="12"/>
      <c r="AX90" s="12"/>
      <c r="AY90" s="12"/>
      <c r="AZ90" s="12"/>
      <c r="BA90" s="12"/>
      <c r="BB90" s="12"/>
      <c r="BC90" s="12"/>
      <c r="BD90" s="12"/>
      <c r="BE90" s="12"/>
      <c r="BF90" s="12"/>
      <c r="BG90" s="13"/>
      <c r="BH90" s="11"/>
      <c r="BI90" s="12"/>
      <c r="BJ90" s="12"/>
      <c r="BK90" s="12"/>
      <c r="BL90" s="12"/>
      <c r="BM90" s="12"/>
      <c r="BN90" s="12"/>
      <c r="BO90" s="12"/>
      <c r="BP90" s="12"/>
      <c r="BQ90" s="12"/>
      <c r="BR90" s="12"/>
      <c r="BS90" s="12"/>
      <c r="BT90" s="12"/>
      <c r="BU90" s="13"/>
      <c r="BV90" s="1"/>
      <c r="BW90" s="1"/>
      <c r="BX90" s="59"/>
      <c r="CN90" s="34"/>
      <c r="CO90" s="1"/>
      <c r="CP90" s="1"/>
    </row>
    <row r="91" ht="11.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46"/>
      <c r="AU91" s="5"/>
      <c r="AV91" s="5"/>
      <c r="AW91" s="5"/>
      <c r="AX91" s="5"/>
      <c r="AY91" s="5"/>
      <c r="AZ91" s="5"/>
      <c r="BA91" s="5"/>
      <c r="BB91" s="5"/>
      <c r="BC91" s="5"/>
      <c r="BD91" s="5"/>
      <c r="BE91" s="5"/>
      <c r="BF91" s="5"/>
      <c r="BG91" s="6"/>
      <c r="BH91" s="46"/>
      <c r="BI91" s="5"/>
      <c r="BJ91" s="5"/>
      <c r="BK91" s="5"/>
      <c r="BL91" s="5"/>
      <c r="BM91" s="5"/>
      <c r="BN91" s="5"/>
      <c r="BO91" s="5"/>
      <c r="BP91" s="5"/>
      <c r="BQ91" s="5"/>
      <c r="BR91" s="5"/>
      <c r="BS91" s="5"/>
      <c r="BT91" s="5"/>
      <c r="BU91" s="6"/>
      <c r="BV91" s="1"/>
      <c r="BW91" s="1"/>
      <c r="BX91" s="59"/>
      <c r="CN91" s="34"/>
      <c r="CO91" s="1"/>
      <c r="CP91" s="1"/>
    </row>
    <row r="92" ht="11.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1"/>
      <c r="AU92" s="12"/>
      <c r="AV92" s="12"/>
      <c r="AW92" s="12"/>
      <c r="AX92" s="12"/>
      <c r="AY92" s="12"/>
      <c r="AZ92" s="12"/>
      <c r="BA92" s="12"/>
      <c r="BB92" s="12"/>
      <c r="BC92" s="12"/>
      <c r="BD92" s="12"/>
      <c r="BE92" s="12"/>
      <c r="BF92" s="12"/>
      <c r="BG92" s="13"/>
      <c r="BH92" s="11"/>
      <c r="BI92" s="12"/>
      <c r="BJ92" s="12"/>
      <c r="BK92" s="12"/>
      <c r="BL92" s="12"/>
      <c r="BM92" s="12"/>
      <c r="BN92" s="12"/>
      <c r="BO92" s="12"/>
      <c r="BP92" s="12"/>
      <c r="BQ92" s="12"/>
      <c r="BR92" s="12"/>
      <c r="BS92" s="12"/>
      <c r="BT92" s="12"/>
      <c r="BU92" s="13"/>
      <c r="BV92" s="1"/>
      <c r="BW92" s="1"/>
      <c r="BX92" s="59"/>
      <c r="CN92" s="34"/>
      <c r="CO92" s="1"/>
      <c r="CP92" s="1"/>
    </row>
    <row r="93" ht="11.25" customHeight="1">
      <c r="A93" s="1"/>
      <c r="B93" s="1"/>
      <c r="C93" s="4" t="s">
        <v>145</v>
      </c>
      <c r="D93" s="5"/>
      <c r="E93" s="5"/>
      <c r="F93" s="5"/>
      <c r="G93" s="5"/>
      <c r="H93" s="6"/>
      <c r="I93" s="46"/>
      <c r="J93" s="5"/>
      <c r="K93" s="5"/>
      <c r="L93" s="5"/>
      <c r="M93" s="5"/>
      <c r="N93" s="5"/>
      <c r="O93" s="5"/>
      <c r="P93" s="5"/>
      <c r="Q93" s="5"/>
      <c r="R93" s="5"/>
      <c r="S93" s="5"/>
      <c r="T93" s="5"/>
      <c r="U93" s="5"/>
      <c r="V93" s="5"/>
      <c r="W93" s="5"/>
      <c r="X93" s="5"/>
      <c r="Y93" s="5"/>
      <c r="Z93" s="5"/>
      <c r="AA93" s="5"/>
      <c r="AB93" s="5"/>
      <c r="AC93" s="5"/>
      <c r="AD93" s="5"/>
      <c r="AE93" s="6"/>
      <c r="AF93" s="1"/>
      <c r="AG93" s="4" t="s">
        <v>69</v>
      </c>
      <c r="AH93" s="5"/>
      <c r="AI93" s="5"/>
      <c r="AJ93" s="5"/>
      <c r="AK93" s="6"/>
      <c r="AL93" s="46"/>
      <c r="AM93" s="5"/>
      <c r="AN93" s="5"/>
      <c r="AO93" s="5"/>
      <c r="AP93" s="5"/>
      <c r="AQ93" s="6"/>
      <c r="AR93" s="1"/>
      <c r="AS93" s="1"/>
      <c r="AT93" s="46"/>
      <c r="AU93" s="5"/>
      <c r="AV93" s="5"/>
      <c r="AW93" s="5"/>
      <c r="AX93" s="5"/>
      <c r="AY93" s="5"/>
      <c r="AZ93" s="5"/>
      <c r="BA93" s="5"/>
      <c r="BB93" s="5"/>
      <c r="BC93" s="5"/>
      <c r="BD93" s="5"/>
      <c r="BE93" s="5"/>
      <c r="BF93" s="5"/>
      <c r="BG93" s="6"/>
      <c r="BH93" s="46"/>
      <c r="BI93" s="5"/>
      <c r="BJ93" s="5"/>
      <c r="BK93" s="5"/>
      <c r="BL93" s="5"/>
      <c r="BM93" s="5"/>
      <c r="BN93" s="5"/>
      <c r="BO93" s="5"/>
      <c r="BP93" s="5"/>
      <c r="BQ93" s="5"/>
      <c r="BR93" s="5"/>
      <c r="BS93" s="5"/>
      <c r="BT93" s="5"/>
      <c r="BU93" s="6"/>
      <c r="BV93" s="1"/>
      <c r="BW93" s="1"/>
      <c r="BX93" s="59"/>
      <c r="CN93" s="34"/>
      <c r="CO93" s="1"/>
      <c r="CP93" s="1"/>
    </row>
    <row r="94" ht="11.25" customHeight="1">
      <c r="A94" s="1"/>
      <c r="B94" s="1"/>
      <c r="C94" s="11"/>
      <c r="D94" s="12"/>
      <c r="E94" s="12"/>
      <c r="F94" s="12"/>
      <c r="G94" s="12"/>
      <c r="H94" s="13"/>
      <c r="I94" s="11"/>
      <c r="J94" s="12"/>
      <c r="K94" s="12"/>
      <c r="L94" s="12"/>
      <c r="M94" s="12"/>
      <c r="N94" s="12"/>
      <c r="O94" s="12"/>
      <c r="P94" s="12"/>
      <c r="Q94" s="12"/>
      <c r="R94" s="12"/>
      <c r="S94" s="12"/>
      <c r="T94" s="12"/>
      <c r="U94" s="12"/>
      <c r="V94" s="12"/>
      <c r="W94" s="12"/>
      <c r="X94" s="12"/>
      <c r="Y94" s="12"/>
      <c r="Z94" s="12"/>
      <c r="AA94" s="12"/>
      <c r="AB94" s="12"/>
      <c r="AC94" s="12"/>
      <c r="AD94" s="12"/>
      <c r="AE94" s="13"/>
      <c r="AF94" s="1"/>
      <c r="AG94" s="11"/>
      <c r="AH94" s="12"/>
      <c r="AI94" s="12"/>
      <c r="AJ94" s="12"/>
      <c r="AK94" s="13"/>
      <c r="AL94" s="11"/>
      <c r="AM94" s="12"/>
      <c r="AN94" s="12"/>
      <c r="AO94" s="12"/>
      <c r="AP94" s="12"/>
      <c r="AQ94" s="13"/>
      <c r="AR94" s="1"/>
      <c r="AS94" s="1"/>
      <c r="AT94" s="11"/>
      <c r="AU94" s="12"/>
      <c r="AV94" s="12"/>
      <c r="AW94" s="12"/>
      <c r="AX94" s="12"/>
      <c r="AY94" s="12"/>
      <c r="AZ94" s="12"/>
      <c r="BA94" s="12"/>
      <c r="BB94" s="12"/>
      <c r="BC94" s="12"/>
      <c r="BD94" s="12"/>
      <c r="BE94" s="12"/>
      <c r="BF94" s="12"/>
      <c r="BG94" s="13"/>
      <c r="BH94" s="11"/>
      <c r="BI94" s="12"/>
      <c r="BJ94" s="12"/>
      <c r="BK94" s="12"/>
      <c r="BL94" s="12"/>
      <c r="BM94" s="12"/>
      <c r="BN94" s="12"/>
      <c r="BO94" s="12"/>
      <c r="BP94" s="12"/>
      <c r="BQ94" s="12"/>
      <c r="BR94" s="12"/>
      <c r="BS94" s="12"/>
      <c r="BT94" s="12"/>
      <c r="BU94" s="13"/>
      <c r="BV94" s="1"/>
      <c r="BW94" s="1"/>
      <c r="BX94" s="59"/>
      <c r="CN94" s="34"/>
      <c r="CO94" s="1"/>
      <c r="CP94" s="1"/>
    </row>
    <row r="95" ht="11.25" customHeight="1">
      <c r="A95" s="1"/>
      <c r="B95" s="1"/>
      <c r="C95" s="1"/>
      <c r="D95" s="1"/>
      <c r="E95" s="1"/>
      <c r="F95" s="1"/>
      <c r="G95" s="1"/>
      <c r="H95" s="20" t="s">
        <v>35</v>
      </c>
      <c r="K95" s="20" t="s">
        <v>91</v>
      </c>
      <c r="N95" s="20" t="s">
        <v>74</v>
      </c>
      <c r="Q95" s="20" t="s">
        <v>130</v>
      </c>
      <c r="T95" s="20" t="s">
        <v>30</v>
      </c>
      <c r="W95" s="1"/>
      <c r="X95" s="1"/>
      <c r="Y95" s="1"/>
      <c r="Z95" s="1"/>
      <c r="AA95" s="1"/>
      <c r="AB95" s="1"/>
      <c r="AC95" s="20" t="s">
        <v>35</v>
      </c>
      <c r="AF95" s="20" t="s">
        <v>74</v>
      </c>
      <c r="AI95" s="20" t="s">
        <v>138</v>
      </c>
      <c r="AL95" s="20" t="s">
        <v>139</v>
      </c>
      <c r="AO95" s="20" t="s">
        <v>30</v>
      </c>
      <c r="AR95" s="1"/>
      <c r="AS95" s="1"/>
      <c r="AT95" s="46"/>
      <c r="AU95" s="5"/>
      <c r="AV95" s="5"/>
      <c r="AW95" s="5"/>
      <c r="AX95" s="5"/>
      <c r="AY95" s="5"/>
      <c r="AZ95" s="5"/>
      <c r="BA95" s="5"/>
      <c r="BB95" s="5"/>
      <c r="BC95" s="5"/>
      <c r="BD95" s="5"/>
      <c r="BE95" s="5"/>
      <c r="BF95" s="5"/>
      <c r="BG95" s="6"/>
      <c r="BH95" s="46"/>
      <c r="BI95" s="5"/>
      <c r="BJ95" s="5"/>
      <c r="BK95" s="5"/>
      <c r="BL95" s="5"/>
      <c r="BM95" s="5"/>
      <c r="BN95" s="5"/>
      <c r="BO95" s="5"/>
      <c r="BP95" s="5"/>
      <c r="BQ95" s="5"/>
      <c r="BR95" s="5"/>
      <c r="BS95" s="5"/>
      <c r="BT95" s="5"/>
      <c r="BU95" s="6"/>
      <c r="BV95" s="1"/>
      <c r="BW95" s="1"/>
      <c r="BX95" s="59"/>
      <c r="CN95" s="34"/>
      <c r="CO95" s="1"/>
      <c r="CP95" s="1"/>
    </row>
    <row r="96" ht="11.25" customHeight="1">
      <c r="A96" s="1"/>
      <c r="B96" s="1"/>
      <c r="C96" s="4" t="s">
        <v>140</v>
      </c>
      <c r="D96" s="5"/>
      <c r="E96" s="5"/>
      <c r="F96" s="5"/>
      <c r="G96" s="6"/>
      <c r="H96" s="26">
        <f>Sum(K96:T96)</f>
        <v>7</v>
      </c>
      <c r="I96" s="5"/>
      <c r="J96" s="6"/>
      <c r="K96" s="9">
        <f>$H$47</f>
        <v>4</v>
      </c>
      <c r="L96" s="5"/>
      <c r="M96" s="6"/>
      <c r="N96" s="9">
        <f>$H$38</f>
        <v>3</v>
      </c>
      <c r="O96" s="5"/>
      <c r="P96" s="6"/>
      <c r="Q96" s="46"/>
      <c r="R96" s="5"/>
      <c r="S96" s="6"/>
      <c r="T96" s="46"/>
      <c r="U96" s="5"/>
      <c r="V96" s="6"/>
      <c r="W96" s="1"/>
      <c r="X96" s="4" t="s">
        <v>141</v>
      </c>
      <c r="Y96" s="5"/>
      <c r="Z96" s="5"/>
      <c r="AA96" s="5"/>
      <c r="AB96" s="6"/>
      <c r="AC96" s="26">
        <f>Sum(AF96:AO96)</f>
        <v>3</v>
      </c>
      <c r="AD96" s="5"/>
      <c r="AE96" s="6"/>
      <c r="AF96" s="9">
        <f>$H$38</f>
        <v>3</v>
      </c>
      <c r="AG96" s="5"/>
      <c r="AH96" s="6"/>
      <c r="AI96" s="9">
        <f>max(0,floor(VLookup("STR",AbilityScores,9,false)/2))</f>
        <v>0</v>
      </c>
      <c r="AJ96" s="5"/>
      <c r="AK96" s="6"/>
      <c r="AL96" s="46"/>
      <c r="AM96" s="5"/>
      <c r="AN96" s="6"/>
      <c r="AO96" s="46"/>
      <c r="AP96" s="5"/>
      <c r="AQ96" s="6"/>
      <c r="AR96" s="1"/>
      <c r="AS96" s="1"/>
      <c r="AT96" s="11"/>
      <c r="AU96" s="12"/>
      <c r="AV96" s="12"/>
      <c r="AW96" s="12"/>
      <c r="AX96" s="12"/>
      <c r="AY96" s="12"/>
      <c r="AZ96" s="12"/>
      <c r="BA96" s="12"/>
      <c r="BB96" s="12"/>
      <c r="BC96" s="12"/>
      <c r="BD96" s="12"/>
      <c r="BE96" s="12"/>
      <c r="BF96" s="12"/>
      <c r="BG96" s="13"/>
      <c r="BH96" s="11"/>
      <c r="BI96" s="12"/>
      <c r="BJ96" s="12"/>
      <c r="BK96" s="12"/>
      <c r="BL96" s="12"/>
      <c r="BM96" s="12"/>
      <c r="BN96" s="12"/>
      <c r="BO96" s="12"/>
      <c r="BP96" s="12"/>
      <c r="BQ96" s="12"/>
      <c r="BR96" s="12"/>
      <c r="BS96" s="12"/>
      <c r="BT96" s="12"/>
      <c r="BU96" s="13"/>
      <c r="BV96" s="1"/>
      <c r="BW96" s="1"/>
      <c r="BX96" s="59"/>
      <c r="CN96" s="34"/>
      <c r="CO96" s="1"/>
      <c r="CP96" s="1"/>
    </row>
    <row r="97" ht="11.25" customHeight="1">
      <c r="A97" s="1"/>
      <c r="B97" s="1"/>
      <c r="C97" s="11"/>
      <c r="D97" s="12"/>
      <c r="E97" s="12"/>
      <c r="F97" s="12"/>
      <c r="G97" s="13"/>
      <c r="H97" s="11"/>
      <c r="I97" s="12"/>
      <c r="J97" s="13"/>
      <c r="K97" s="11"/>
      <c r="L97" s="12"/>
      <c r="M97" s="13"/>
      <c r="N97" s="11"/>
      <c r="O97" s="12"/>
      <c r="P97" s="13"/>
      <c r="Q97" s="11"/>
      <c r="R97" s="12"/>
      <c r="S97" s="13"/>
      <c r="T97" s="11"/>
      <c r="U97" s="12"/>
      <c r="V97" s="13"/>
      <c r="W97" s="1"/>
      <c r="X97" s="11"/>
      <c r="Y97" s="12"/>
      <c r="Z97" s="12"/>
      <c r="AA97" s="12"/>
      <c r="AB97" s="13"/>
      <c r="AC97" s="11"/>
      <c r="AD97" s="12"/>
      <c r="AE97" s="13"/>
      <c r="AF97" s="11"/>
      <c r="AG97" s="12"/>
      <c r="AH97" s="13"/>
      <c r="AI97" s="11"/>
      <c r="AJ97" s="12"/>
      <c r="AK97" s="13"/>
      <c r="AL97" s="11"/>
      <c r="AM97" s="12"/>
      <c r="AN97" s="13"/>
      <c r="AO97" s="11"/>
      <c r="AP97" s="12"/>
      <c r="AQ97" s="13"/>
      <c r="AR97" s="1"/>
      <c r="AS97" s="1"/>
      <c r="AT97" s="46"/>
      <c r="AU97" s="5"/>
      <c r="AV97" s="5"/>
      <c r="AW97" s="5"/>
      <c r="AX97" s="5"/>
      <c r="AY97" s="5"/>
      <c r="AZ97" s="5"/>
      <c r="BA97" s="5"/>
      <c r="BB97" s="5"/>
      <c r="BC97" s="5"/>
      <c r="BD97" s="5"/>
      <c r="BE97" s="5"/>
      <c r="BF97" s="5"/>
      <c r="BG97" s="6"/>
      <c r="BH97" s="46"/>
      <c r="BI97" s="5"/>
      <c r="BJ97" s="5"/>
      <c r="BK97" s="5"/>
      <c r="BL97" s="5"/>
      <c r="BM97" s="5"/>
      <c r="BN97" s="5"/>
      <c r="BO97" s="5"/>
      <c r="BP97" s="5"/>
      <c r="BQ97" s="5"/>
      <c r="BR97" s="5"/>
      <c r="BS97" s="5"/>
      <c r="BT97" s="5"/>
      <c r="BU97" s="6"/>
      <c r="BV97" s="1"/>
      <c r="BW97" s="1"/>
      <c r="BX97" s="59"/>
      <c r="CN97" s="34"/>
      <c r="CO97" s="1"/>
      <c r="CP97" s="1"/>
    </row>
    <row r="98" ht="11.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1"/>
      <c r="AU98" s="12"/>
      <c r="AV98" s="12"/>
      <c r="AW98" s="12"/>
      <c r="AX98" s="12"/>
      <c r="AY98" s="12"/>
      <c r="AZ98" s="12"/>
      <c r="BA98" s="12"/>
      <c r="BB98" s="12"/>
      <c r="BC98" s="12"/>
      <c r="BD98" s="12"/>
      <c r="BE98" s="12"/>
      <c r="BF98" s="12"/>
      <c r="BG98" s="13"/>
      <c r="BH98" s="11"/>
      <c r="BI98" s="12"/>
      <c r="BJ98" s="12"/>
      <c r="BK98" s="12"/>
      <c r="BL98" s="12"/>
      <c r="BM98" s="12"/>
      <c r="BN98" s="12"/>
      <c r="BO98" s="12"/>
      <c r="BP98" s="12"/>
      <c r="BQ98" s="12"/>
      <c r="BR98" s="12"/>
      <c r="BS98" s="12"/>
      <c r="BT98" s="12"/>
      <c r="BU98" s="13"/>
      <c r="BV98" s="1"/>
      <c r="BW98" s="1"/>
      <c r="BX98" s="59"/>
      <c r="CN98" s="34"/>
      <c r="CO98" s="1"/>
      <c r="CP98" s="1"/>
    </row>
    <row r="99" ht="11.25" customHeight="1">
      <c r="A99" s="1"/>
      <c r="B99" s="1"/>
      <c r="C99" s="4" t="s">
        <v>143</v>
      </c>
      <c r="D99" s="5"/>
      <c r="E99" s="5"/>
      <c r="F99" s="5"/>
      <c r="G99" s="5"/>
      <c r="H99" s="6"/>
      <c r="I99" s="46"/>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6"/>
      <c r="AR99" s="1"/>
      <c r="AS99" s="1"/>
      <c r="AT99" s="46"/>
      <c r="AU99" s="5"/>
      <c r="AV99" s="5"/>
      <c r="AW99" s="5"/>
      <c r="AX99" s="5"/>
      <c r="AY99" s="5"/>
      <c r="AZ99" s="5"/>
      <c r="BA99" s="5"/>
      <c r="BB99" s="5"/>
      <c r="BC99" s="5"/>
      <c r="BD99" s="5"/>
      <c r="BE99" s="5"/>
      <c r="BF99" s="5"/>
      <c r="BG99" s="6"/>
      <c r="BH99" s="46"/>
      <c r="BI99" s="5"/>
      <c r="BJ99" s="5"/>
      <c r="BK99" s="5"/>
      <c r="BL99" s="5"/>
      <c r="BM99" s="5"/>
      <c r="BN99" s="5"/>
      <c r="BO99" s="5"/>
      <c r="BP99" s="5"/>
      <c r="BQ99" s="5"/>
      <c r="BR99" s="5"/>
      <c r="BS99" s="5"/>
      <c r="BT99" s="5"/>
      <c r="BU99" s="6"/>
      <c r="BV99" s="1"/>
      <c r="BW99" s="1"/>
      <c r="BX99" s="59"/>
      <c r="CN99" s="34"/>
      <c r="CO99" s="1"/>
      <c r="CP99" s="1"/>
    </row>
    <row r="100" ht="11.25" customHeight="1">
      <c r="A100" s="1"/>
      <c r="B100" s="1"/>
      <c r="C100" s="11"/>
      <c r="D100" s="12"/>
      <c r="E100" s="12"/>
      <c r="F100" s="12"/>
      <c r="G100" s="12"/>
      <c r="H100" s="13"/>
      <c r="I100" s="11"/>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3"/>
      <c r="AR100" s="1"/>
      <c r="AS100" s="1"/>
      <c r="AT100" s="11"/>
      <c r="AU100" s="12"/>
      <c r="AV100" s="12"/>
      <c r="AW100" s="12"/>
      <c r="AX100" s="12"/>
      <c r="AY100" s="12"/>
      <c r="AZ100" s="12"/>
      <c r="BA100" s="12"/>
      <c r="BB100" s="12"/>
      <c r="BC100" s="12"/>
      <c r="BD100" s="12"/>
      <c r="BE100" s="12"/>
      <c r="BF100" s="12"/>
      <c r="BG100" s="13"/>
      <c r="BH100" s="11"/>
      <c r="BI100" s="12"/>
      <c r="BJ100" s="12"/>
      <c r="BK100" s="12"/>
      <c r="BL100" s="12"/>
      <c r="BM100" s="12"/>
      <c r="BN100" s="12"/>
      <c r="BO100" s="12"/>
      <c r="BP100" s="12"/>
      <c r="BQ100" s="12"/>
      <c r="BR100" s="12"/>
      <c r="BS100" s="12"/>
      <c r="BT100" s="12"/>
      <c r="BU100" s="13"/>
      <c r="BV100" s="1"/>
      <c r="BW100" s="1"/>
      <c r="BX100" s="59"/>
      <c r="CN100" s="34"/>
      <c r="CO100" s="1"/>
      <c r="CP100" s="1"/>
    </row>
    <row r="101" ht="11.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46"/>
      <c r="AU101" s="5"/>
      <c r="AV101" s="5"/>
      <c r="AW101" s="5"/>
      <c r="AX101" s="5"/>
      <c r="AY101" s="5"/>
      <c r="AZ101" s="5"/>
      <c r="BA101" s="5"/>
      <c r="BB101" s="5"/>
      <c r="BC101" s="5"/>
      <c r="BD101" s="5"/>
      <c r="BE101" s="5"/>
      <c r="BF101" s="5"/>
      <c r="BG101" s="6"/>
      <c r="BH101" s="46"/>
      <c r="BI101" s="5"/>
      <c r="BJ101" s="5"/>
      <c r="BK101" s="5"/>
      <c r="BL101" s="5"/>
      <c r="BM101" s="5"/>
      <c r="BN101" s="5"/>
      <c r="BO101" s="5"/>
      <c r="BP101" s="5"/>
      <c r="BQ101" s="5"/>
      <c r="BR101" s="5"/>
      <c r="BS101" s="5"/>
      <c r="BT101" s="5"/>
      <c r="BU101" s="6"/>
      <c r="BV101" s="1"/>
      <c r="BW101" s="1"/>
      <c r="BX101" s="59"/>
      <c r="CN101" s="34"/>
      <c r="CO101" s="1"/>
      <c r="CP101" s="1"/>
    </row>
    <row r="102" ht="11.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1"/>
      <c r="AU102" s="12"/>
      <c r="AV102" s="12"/>
      <c r="AW102" s="12"/>
      <c r="AX102" s="12"/>
      <c r="AY102" s="12"/>
      <c r="AZ102" s="12"/>
      <c r="BA102" s="12"/>
      <c r="BB102" s="12"/>
      <c r="BC102" s="12"/>
      <c r="BD102" s="12"/>
      <c r="BE102" s="12"/>
      <c r="BF102" s="12"/>
      <c r="BG102" s="13"/>
      <c r="BH102" s="11"/>
      <c r="BI102" s="12"/>
      <c r="BJ102" s="12"/>
      <c r="BK102" s="12"/>
      <c r="BL102" s="12"/>
      <c r="BM102" s="12"/>
      <c r="BN102" s="12"/>
      <c r="BO102" s="12"/>
      <c r="BP102" s="12"/>
      <c r="BQ102" s="12"/>
      <c r="BR102" s="12"/>
      <c r="BS102" s="12"/>
      <c r="BT102" s="12"/>
      <c r="BU102" s="13"/>
      <c r="BV102" s="1"/>
      <c r="BW102" s="1"/>
      <c r="BX102" s="59"/>
      <c r="CN102" s="34"/>
      <c r="CO102" s="1"/>
      <c r="CP102" s="1"/>
    </row>
    <row r="103" ht="11.25" customHeight="1">
      <c r="A103" s="1"/>
      <c r="B103" s="1"/>
      <c r="C103" s="4" t="s">
        <v>146</v>
      </c>
      <c r="D103" s="5"/>
      <c r="E103" s="5"/>
      <c r="F103" s="5"/>
      <c r="G103" s="5"/>
      <c r="H103" s="6"/>
      <c r="I103" s="46"/>
      <c r="J103" s="5"/>
      <c r="K103" s="5"/>
      <c r="L103" s="5"/>
      <c r="M103" s="5"/>
      <c r="N103" s="5"/>
      <c r="O103" s="5"/>
      <c r="P103" s="5"/>
      <c r="Q103" s="5"/>
      <c r="R103" s="5"/>
      <c r="S103" s="5"/>
      <c r="T103" s="5"/>
      <c r="U103" s="5"/>
      <c r="V103" s="5"/>
      <c r="W103" s="5"/>
      <c r="X103" s="5"/>
      <c r="Y103" s="5"/>
      <c r="Z103" s="5"/>
      <c r="AA103" s="5"/>
      <c r="AB103" s="5"/>
      <c r="AC103" s="5"/>
      <c r="AD103" s="5"/>
      <c r="AE103" s="6"/>
      <c r="AF103" s="1"/>
      <c r="AG103" s="4" t="s">
        <v>69</v>
      </c>
      <c r="AH103" s="5"/>
      <c r="AI103" s="5"/>
      <c r="AJ103" s="5"/>
      <c r="AK103" s="6"/>
      <c r="AL103" s="46"/>
      <c r="AM103" s="5"/>
      <c r="AN103" s="5"/>
      <c r="AO103" s="5"/>
      <c r="AP103" s="5"/>
      <c r="AQ103" s="6"/>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59"/>
      <c r="CN103" s="34"/>
      <c r="CO103" s="1"/>
      <c r="CP103" s="1"/>
    </row>
    <row r="104" ht="11.25" customHeight="1">
      <c r="A104" s="1"/>
      <c r="B104" s="1"/>
      <c r="C104" s="11"/>
      <c r="D104" s="12"/>
      <c r="E104" s="12"/>
      <c r="F104" s="12"/>
      <c r="G104" s="12"/>
      <c r="H104" s="13"/>
      <c r="I104" s="11"/>
      <c r="J104" s="12"/>
      <c r="K104" s="12"/>
      <c r="L104" s="12"/>
      <c r="M104" s="12"/>
      <c r="N104" s="12"/>
      <c r="O104" s="12"/>
      <c r="P104" s="12"/>
      <c r="Q104" s="12"/>
      <c r="R104" s="12"/>
      <c r="S104" s="12"/>
      <c r="T104" s="12"/>
      <c r="U104" s="12"/>
      <c r="V104" s="12"/>
      <c r="W104" s="12"/>
      <c r="X104" s="12"/>
      <c r="Y104" s="12"/>
      <c r="Z104" s="12"/>
      <c r="AA104" s="12"/>
      <c r="AB104" s="12"/>
      <c r="AC104" s="12"/>
      <c r="AD104" s="12"/>
      <c r="AE104" s="13"/>
      <c r="AF104" s="1"/>
      <c r="AG104" s="11"/>
      <c r="AH104" s="12"/>
      <c r="AI104" s="12"/>
      <c r="AJ104" s="12"/>
      <c r="AK104" s="13"/>
      <c r="AL104" s="11"/>
      <c r="AM104" s="12"/>
      <c r="AN104" s="12"/>
      <c r="AO104" s="12"/>
      <c r="AP104" s="12"/>
      <c r="AQ104" s="13"/>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59"/>
      <c r="CN104" s="34"/>
      <c r="CO104" s="1"/>
      <c r="CP104" s="1"/>
    </row>
    <row r="105" ht="11.25" customHeight="1">
      <c r="A105" s="1"/>
      <c r="B105" s="1"/>
      <c r="C105" s="1"/>
      <c r="D105" s="1"/>
      <c r="E105" s="1"/>
      <c r="F105" s="1"/>
      <c r="G105" s="1"/>
      <c r="H105" s="20" t="s">
        <v>35</v>
      </c>
      <c r="K105" s="20" t="s">
        <v>91</v>
      </c>
      <c r="N105" s="20" t="s">
        <v>74</v>
      </c>
      <c r="Q105" s="20" t="s">
        <v>130</v>
      </c>
      <c r="T105" s="20" t="s">
        <v>30</v>
      </c>
      <c r="W105" s="1"/>
      <c r="X105" s="1"/>
      <c r="Y105" s="1"/>
      <c r="Z105" s="1"/>
      <c r="AA105" s="1"/>
      <c r="AB105" s="1"/>
      <c r="AC105" s="20" t="s">
        <v>35</v>
      </c>
      <c r="AF105" s="20" t="s">
        <v>74</v>
      </c>
      <c r="AI105" s="20" t="s">
        <v>138</v>
      </c>
      <c r="AL105" s="20" t="s">
        <v>139</v>
      </c>
      <c r="AO105" s="20" t="s">
        <v>30</v>
      </c>
      <c r="AR105" s="1"/>
      <c r="AS105" s="1"/>
      <c r="AT105" s="8" t="s">
        <v>147</v>
      </c>
      <c r="BV105" s="1"/>
      <c r="BW105" s="1"/>
      <c r="BX105" s="59"/>
      <c r="CN105" s="34"/>
      <c r="CO105" s="1"/>
      <c r="CP105" s="1"/>
    </row>
    <row r="106" ht="11.25" customHeight="1">
      <c r="A106" s="1"/>
      <c r="B106" s="1"/>
      <c r="C106" s="4" t="s">
        <v>140</v>
      </c>
      <c r="D106" s="5"/>
      <c r="E106" s="5"/>
      <c r="F106" s="5"/>
      <c r="G106" s="6"/>
      <c r="H106" s="26">
        <f>Sum(K106:T106)</f>
        <v>7</v>
      </c>
      <c r="I106" s="5"/>
      <c r="J106" s="6"/>
      <c r="K106" s="9">
        <f>$H$47</f>
        <v>4</v>
      </c>
      <c r="L106" s="5"/>
      <c r="M106" s="6"/>
      <c r="N106" s="9">
        <f>$H$38</f>
        <v>3</v>
      </c>
      <c r="O106" s="5"/>
      <c r="P106" s="6"/>
      <c r="Q106" s="46"/>
      <c r="R106" s="5"/>
      <c r="S106" s="6"/>
      <c r="T106" s="46"/>
      <c r="U106" s="5"/>
      <c r="V106" s="6"/>
      <c r="W106" s="1"/>
      <c r="X106" s="4" t="s">
        <v>141</v>
      </c>
      <c r="Y106" s="5"/>
      <c r="Z106" s="5"/>
      <c r="AA106" s="5"/>
      <c r="AB106" s="6"/>
      <c r="AC106" s="26">
        <f>Sum(AF106:AO106)</f>
        <v>3</v>
      </c>
      <c r="AD106" s="5"/>
      <c r="AE106" s="6"/>
      <c r="AF106" s="9">
        <f>$H$38</f>
        <v>3</v>
      </c>
      <c r="AG106" s="5"/>
      <c r="AH106" s="6"/>
      <c r="AI106" s="9">
        <f>max(0,floor(VLookup("STR",AbilityScores,9,false)/2))</f>
        <v>0</v>
      </c>
      <c r="AJ106" s="5"/>
      <c r="AK106" s="6"/>
      <c r="AL106" s="46"/>
      <c r="AM106" s="5"/>
      <c r="AN106" s="6"/>
      <c r="AO106" s="46"/>
      <c r="AP106" s="5"/>
      <c r="AQ106" s="6"/>
      <c r="AR106" s="1"/>
      <c r="AS106" s="1"/>
      <c r="BV106" s="1"/>
      <c r="BW106" s="1"/>
      <c r="BX106" s="59"/>
      <c r="CN106" s="34"/>
      <c r="CO106" s="1"/>
      <c r="CP106" s="1"/>
    </row>
    <row r="107" ht="11.25" customHeight="1">
      <c r="A107" s="1"/>
      <c r="B107" s="1"/>
      <c r="C107" s="11"/>
      <c r="D107" s="12"/>
      <c r="E107" s="12"/>
      <c r="F107" s="12"/>
      <c r="G107" s="13"/>
      <c r="H107" s="11"/>
      <c r="I107" s="12"/>
      <c r="J107" s="13"/>
      <c r="K107" s="11"/>
      <c r="L107" s="12"/>
      <c r="M107" s="13"/>
      <c r="N107" s="11"/>
      <c r="O107" s="12"/>
      <c r="P107" s="13"/>
      <c r="Q107" s="11"/>
      <c r="R107" s="12"/>
      <c r="S107" s="13"/>
      <c r="T107" s="11"/>
      <c r="U107" s="12"/>
      <c r="V107" s="13"/>
      <c r="W107" s="1"/>
      <c r="X107" s="11"/>
      <c r="Y107" s="12"/>
      <c r="Z107" s="12"/>
      <c r="AA107" s="12"/>
      <c r="AB107" s="13"/>
      <c r="AC107" s="11"/>
      <c r="AD107" s="12"/>
      <c r="AE107" s="13"/>
      <c r="AF107" s="11"/>
      <c r="AG107" s="12"/>
      <c r="AH107" s="13"/>
      <c r="AI107" s="11"/>
      <c r="AJ107" s="12"/>
      <c r="AK107" s="13"/>
      <c r="AL107" s="11"/>
      <c r="AM107" s="12"/>
      <c r="AN107" s="13"/>
      <c r="AO107" s="11"/>
      <c r="AP107" s="12"/>
      <c r="AQ107" s="13"/>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59"/>
      <c r="CN107" s="34"/>
      <c r="CO107" s="1"/>
      <c r="CP107" s="1"/>
    </row>
    <row r="108" ht="11.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20" t="s">
        <v>48</v>
      </c>
      <c r="AV108" s="20" t="s">
        <v>148</v>
      </c>
      <c r="BE108" s="20" t="s">
        <v>149</v>
      </c>
      <c r="BV108" s="1"/>
      <c r="BW108" s="1"/>
      <c r="BX108" s="59"/>
      <c r="CN108" s="34"/>
      <c r="CO108" s="1"/>
      <c r="CP108" s="1"/>
    </row>
    <row r="109" ht="11.25" customHeight="1">
      <c r="A109" s="1"/>
      <c r="B109" s="1"/>
      <c r="C109" s="4" t="s">
        <v>143</v>
      </c>
      <c r="D109" s="5"/>
      <c r="E109" s="5"/>
      <c r="F109" s="5"/>
      <c r="G109" s="5"/>
      <c r="H109" s="6"/>
      <c r="I109" s="46"/>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6"/>
      <c r="AR109" s="1"/>
      <c r="AS109" s="1"/>
      <c r="AT109" s="65">
        <f>IF($AF$11="No",1,6)</f>
        <v>6</v>
      </c>
      <c r="AV109" s="8" t="s">
        <v>150</v>
      </c>
      <c r="BE109" s="46" t="str">
        <f>IF($AC$9&gt;=AT109,"Oakstone Shard","")</f>
        <v/>
      </c>
      <c r="BF109" s="5"/>
      <c r="BG109" s="5"/>
      <c r="BH109" s="5"/>
      <c r="BI109" s="5"/>
      <c r="BJ109" s="5"/>
      <c r="BK109" s="5"/>
      <c r="BL109" s="5"/>
      <c r="BM109" s="5"/>
      <c r="BN109" s="5"/>
      <c r="BO109" s="5"/>
      <c r="BP109" s="5"/>
      <c r="BQ109" s="5"/>
      <c r="BR109" s="5"/>
      <c r="BS109" s="5"/>
      <c r="BT109" s="5"/>
      <c r="BU109" s="6"/>
      <c r="BV109" s="1"/>
      <c r="BW109" s="1"/>
      <c r="BX109" s="11"/>
      <c r="BY109" s="12"/>
      <c r="BZ109" s="12"/>
      <c r="CA109" s="12"/>
      <c r="CB109" s="12"/>
      <c r="CC109" s="12"/>
      <c r="CD109" s="12"/>
      <c r="CE109" s="12"/>
      <c r="CF109" s="12"/>
      <c r="CG109" s="12"/>
      <c r="CH109" s="12"/>
      <c r="CI109" s="12"/>
      <c r="CJ109" s="12"/>
      <c r="CK109" s="12"/>
      <c r="CL109" s="12"/>
      <c r="CM109" s="12"/>
      <c r="CN109" s="13"/>
      <c r="CO109" s="1"/>
      <c r="CP109" s="1"/>
    </row>
    <row r="110" ht="11.25" customHeight="1">
      <c r="A110" s="1"/>
      <c r="B110" s="1"/>
      <c r="C110" s="11"/>
      <c r="D110" s="12"/>
      <c r="E110" s="12"/>
      <c r="F110" s="12"/>
      <c r="G110" s="12"/>
      <c r="H110" s="13"/>
      <c r="I110" s="11"/>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3"/>
      <c r="AR110" s="1"/>
      <c r="AS110" s="1"/>
      <c r="BE110" s="11"/>
      <c r="BF110" s="12"/>
      <c r="BG110" s="12"/>
      <c r="BH110" s="12"/>
      <c r="BI110" s="12"/>
      <c r="BJ110" s="12"/>
      <c r="BK110" s="12"/>
      <c r="BL110" s="12"/>
      <c r="BM110" s="12"/>
      <c r="BN110" s="12"/>
      <c r="BO110" s="12"/>
      <c r="BP110" s="12"/>
      <c r="BQ110" s="12"/>
      <c r="BR110" s="12"/>
      <c r="BS110" s="12"/>
      <c r="BT110" s="12"/>
      <c r="BU110" s="13"/>
      <c r="BV110" s="1"/>
      <c r="BW110" s="1"/>
      <c r="BX110" s="1"/>
      <c r="BY110" s="1"/>
      <c r="BZ110" s="1"/>
      <c r="CA110" s="1"/>
      <c r="CB110" s="1"/>
      <c r="CC110" s="1"/>
      <c r="CD110" s="1"/>
      <c r="CE110" s="1"/>
      <c r="CF110" s="1"/>
      <c r="CG110" s="1"/>
      <c r="CH110" s="1"/>
      <c r="CI110" s="1"/>
      <c r="CJ110" s="1"/>
      <c r="CK110" s="1"/>
      <c r="CL110" s="1"/>
      <c r="CM110" s="1"/>
      <c r="CN110" s="1"/>
      <c r="CO110" s="1"/>
      <c r="CP110" s="1"/>
    </row>
    <row r="111" ht="11.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65" t="str">
        <f>IF($AF$11="No",4,"")</f>
        <v/>
      </c>
      <c r="AV111" s="8" t="s">
        <v>151</v>
      </c>
      <c r="BE111" s="46"/>
      <c r="BF111" s="5"/>
      <c r="BG111" s="5"/>
      <c r="BH111" s="5"/>
      <c r="BI111" s="5"/>
      <c r="BJ111" s="5"/>
      <c r="BK111" s="5"/>
      <c r="BL111" s="5"/>
      <c r="BM111" s="5"/>
      <c r="BN111" s="5"/>
      <c r="BO111" s="5"/>
      <c r="BP111" s="5"/>
      <c r="BQ111" s="5"/>
      <c r="BR111" s="5"/>
      <c r="BS111" s="5"/>
      <c r="BT111" s="5"/>
      <c r="BU111" s="6"/>
      <c r="BV111" s="1"/>
      <c r="BW111" s="1"/>
      <c r="BX111" s="1"/>
      <c r="BY111" s="1"/>
      <c r="BZ111" s="1"/>
      <c r="CA111" s="1"/>
      <c r="CB111" s="1"/>
      <c r="CC111" s="1"/>
      <c r="CD111" s="1"/>
      <c r="CE111" s="1"/>
      <c r="CF111" s="1"/>
      <c r="CG111" s="1"/>
      <c r="CH111" s="1"/>
      <c r="CI111" s="1"/>
      <c r="CJ111" s="1"/>
      <c r="CK111" s="1"/>
      <c r="CL111" s="1"/>
      <c r="CM111" s="1"/>
      <c r="CN111" s="1"/>
      <c r="CO111" s="1"/>
      <c r="CP111" s="1"/>
    </row>
    <row r="112" ht="11.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BE112" s="11"/>
      <c r="BF112" s="12"/>
      <c r="BG112" s="12"/>
      <c r="BH112" s="12"/>
      <c r="BI112" s="12"/>
      <c r="BJ112" s="12"/>
      <c r="BK112" s="12"/>
      <c r="BL112" s="12"/>
      <c r="BM112" s="12"/>
      <c r="BN112" s="12"/>
      <c r="BO112" s="12"/>
      <c r="BP112" s="12"/>
      <c r="BQ112" s="12"/>
      <c r="BR112" s="12"/>
      <c r="BS112" s="12"/>
      <c r="BT112" s="12"/>
      <c r="BU112" s="13"/>
      <c r="BV112" s="1"/>
      <c r="BW112" s="1"/>
      <c r="BX112" s="1"/>
      <c r="BY112" s="1"/>
      <c r="BZ112" s="1"/>
      <c r="CA112" s="1"/>
      <c r="CB112" s="1"/>
      <c r="CC112" s="1"/>
      <c r="CD112" s="1"/>
      <c r="CE112" s="1"/>
      <c r="CF112" s="1"/>
      <c r="CG112" s="1"/>
      <c r="CH112" s="1"/>
      <c r="CI112" s="1"/>
      <c r="CJ112" s="1"/>
      <c r="CK112" s="1"/>
      <c r="CL112" s="1"/>
      <c r="CM112" s="1"/>
      <c r="CN112" s="1"/>
      <c r="CO112" s="1"/>
      <c r="CP112" s="1"/>
    </row>
    <row r="113" ht="11.25" customHeight="1">
      <c r="A113" s="1"/>
      <c r="B113" s="1"/>
      <c r="C113" s="4" t="s">
        <v>152</v>
      </c>
      <c r="D113" s="5"/>
      <c r="E113" s="5"/>
      <c r="F113" s="5"/>
      <c r="G113" s="5"/>
      <c r="H113" s="6"/>
      <c r="I113" s="46"/>
      <c r="J113" s="5"/>
      <c r="K113" s="5"/>
      <c r="L113" s="5"/>
      <c r="M113" s="5"/>
      <c r="N113" s="5"/>
      <c r="O113" s="5"/>
      <c r="P113" s="5"/>
      <c r="Q113" s="5"/>
      <c r="R113" s="5"/>
      <c r="S113" s="5"/>
      <c r="T113" s="5"/>
      <c r="U113" s="5"/>
      <c r="V113" s="5"/>
      <c r="W113" s="5"/>
      <c r="X113" s="5"/>
      <c r="Y113" s="5"/>
      <c r="Z113" s="5"/>
      <c r="AA113" s="5"/>
      <c r="AB113" s="5"/>
      <c r="AC113" s="5"/>
      <c r="AD113" s="5"/>
      <c r="AE113" s="6"/>
      <c r="AF113" s="1"/>
      <c r="AG113" s="4" t="s">
        <v>69</v>
      </c>
      <c r="AH113" s="5"/>
      <c r="AI113" s="5"/>
      <c r="AJ113" s="5"/>
      <c r="AK113" s="6"/>
      <c r="AL113" s="46"/>
      <c r="AM113" s="5"/>
      <c r="AN113" s="5"/>
      <c r="AO113" s="5"/>
      <c r="AP113" s="5"/>
      <c r="AQ113" s="6"/>
      <c r="AR113" s="1"/>
      <c r="AS113" s="1"/>
      <c r="AT113" s="65" t="str">
        <f>IF($AF$11="No",7,"")</f>
        <v/>
      </c>
      <c r="AV113" s="8" t="s">
        <v>153</v>
      </c>
      <c r="BE113" s="46"/>
      <c r="BF113" s="5"/>
      <c r="BG113" s="5"/>
      <c r="BH113" s="5"/>
      <c r="BI113" s="5"/>
      <c r="BJ113" s="5"/>
      <c r="BK113" s="5"/>
      <c r="BL113" s="5"/>
      <c r="BM113" s="5"/>
      <c r="BN113" s="5"/>
      <c r="BO113" s="5"/>
      <c r="BP113" s="5"/>
      <c r="BQ113" s="5"/>
      <c r="BR113" s="5"/>
      <c r="BS113" s="5"/>
      <c r="BT113" s="5"/>
      <c r="BU113" s="6"/>
      <c r="BV113" s="1"/>
      <c r="BW113" s="1"/>
      <c r="BX113" s="1"/>
      <c r="BY113" s="1"/>
      <c r="BZ113" s="1"/>
      <c r="CA113" s="1"/>
      <c r="CB113" s="1"/>
      <c r="CC113" s="1"/>
      <c r="CD113" s="1"/>
      <c r="CE113" s="1"/>
      <c r="CF113" s="1"/>
      <c r="CG113" s="1"/>
      <c r="CH113" s="1"/>
      <c r="CI113" s="1"/>
      <c r="CJ113" s="1"/>
      <c r="CK113" s="1"/>
      <c r="CL113" s="1"/>
      <c r="CM113" s="1"/>
      <c r="CN113" s="1"/>
      <c r="CO113" s="1"/>
      <c r="CP113" s="1"/>
    </row>
    <row r="114" ht="11.25" customHeight="1">
      <c r="A114" s="1"/>
      <c r="B114" s="1"/>
      <c r="C114" s="11"/>
      <c r="D114" s="12"/>
      <c r="E114" s="12"/>
      <c r="F114" s="12"/>
      <c r="G114" s="12"/>
      <c r="H114" s="13"/>
      <c r="I114" s="11"/>
      <c r="J114" s="12"/>
      <c r="K114" s="12"/>
      <c r="L114" s="12"/>
      <c r="M114" s="12"/>
      <c r="N114" s="12"/>
      <c r="O114" s="12"/>
      <c r="P114" s="12"/>
      <c r="Q114" s="12"/>
      <c r="R114" s="12"/>
      <c r="S114" s="12"/>
      <c r="T114" s="12"/>
      <c r="U114" s="12"/>
      <c r="V114" s="12"/>
      <c r="W114" s="12"/>
      <c r="X114" s="12"/>
      <c r="Y114" s="12"/>
      <c r="Z114" s="12"/>
      <c r="AA114" s="12"/>
      <c r="AB114" s="12"/>
      <c r="AC114" s="12"/>
      <c r="AD114" s="12"/>
      <c r="AE114" s="13"/>
      <c r="AF114" s="1"/>
      <c r="AG114" s="11"/>
      <c r="AH114" s="12"/>
      <c r="AI114" s="12"/>
      <c r="AJ114" s="12"/>
      <c r="AK114" s="13"/>
      <c r="AL114" s="11"/>
      <c r="AM114" s="12"/>
      <c r="AN114" s="12"/>
      <c r="AO114" s="12"/>
      <c r="AP114" s="12"/>
      <c r="AQ114" s="13"/>
      <c r="AR114" s="1"/>
      <c r="AS114" s="1"/>
      <c r="BE114" s="11"/>
      <c r="BF114" s="12"/>
      <c r="BG114" s="12"/>
      <c r="BH114" s="12"/>
      <c r="BI114" s="12"/>
      <c r="BJ114" s="12"/>
      <c r="BK114" s="12"/>
      <c r="BL114" s="12"/>
      <c r="BM114" s="12"/>
      <c r="BN114" s="12"/>
      <c r="BO114" s="12"/>
      <c r="BP114" s="12"/>
      <c r="BQ114" s="12"/>
      <c r="BR114" s="12"/>
      <c r="BS114" s="12"/>
      <c r="BT114" s="12"/>
      <c r="BU114" s="13"/>
      <c r="BV114" s="1"/>
      <c r="BW114" s="1"/>
      <c r="BX114" s="1"/>
      <c r="BY114" s="1"/>
      <c r="BZ114" s="1"/>
      <c r="CA114" s="1"/>
      <c r="CB114" s="1"/>
      <c r="CC114" s="1"/>
      <c r="CD114" s="1"/>
      <c r="CE114" s="1"/>
      <c r="CF114" s="1"/>
      <c r="CG114" s="1"/>
      <c r="CH114" s="1"/>
      <c r="CI114" s="1"/>
      <c r="CJ114" s="1"/>
      <c r="CK114" s="1"/>
      <c r="CL114" s="1"/>
      <c r="CM114" s="1"/>
      <c r="CN114" s="1"/>
      <c r="CO114" s="1"/>
      <c r="CP114" s="1"/>
    </row>
    <row r="115" ht="11.25" customHeight="1">
      <c r="A115" s="1"/>
      <c r="B115" s="1"/>
      <c r="C115" s="1"/>
      <c r="D115" s="1"/>
      <c r="E115" s="1"/>
      <c r="F115" s="1"/>
      <c r="G115" s="1"/>
      <c r="H115" s="20" t="s">
        <v>35</v>
      </c>
      <c r="K115" s="20" t="s">
        <v>91</v>
      </c>
      <c r="N115" s="20" t="s">
        <v>74</v>
      </c>
      <c r="Q115" s="20" t="s">
        <v>130</v>
      </c>
      <c r="T115" s="20" t="s">
        <v>30</v>
      </c>
      <c r="W115" s="1"/>
      <c r="X115" s="1"/>
      <c r="Y115" s="1"/>
      <c r="Z115" s="1"/>
      <c r="AA115" s="1"/>
      <c r="AB115" s="1"/>
      <c r="AC115" s="20" t="s">
        <v>35</v>
      </c>
      <c r="AF115" s="20" t="s">
        <v>74</v>
      </c>
      <c r="AI115" s="20" t="s">
        <v>138</v>
      </c>
      <c r="AL115" s="20" t="s">
        <v>139</v>
      </c>
      <c r="AO115" s="20" t="s">
        <v>30</v>
      </c>
      <c r="AR115" s="1"/>
      <c r="AS115" s="1"/>
      <c r="AT115" s="65" t="str">
        <f>IF($AF$11="No",11,"")</f>
        <v/>
      </c>
      <c r="AV115" s="8" t="s">
        <v>154</v>
      </c>
      <c r="BE115" s="46"/>
      <c r="BF115" s="5"/>
      <c r="BG115" s="5"/>
      <c r="BH115" s="5"/>
      <c r="BI115" s="5"/>
      <c r="BJ115" s="5"/>
      <c r="BK115" s="5"/>
      <c r="BL115" s="5"/>
      <c r="BM115" s="5"/>
      <c r="BN115" s="5"/>
      <c r="BO115" s="5"/>
      <c r="BP115" s="5"/>
      <c r="BQ115" s="5"/>
      <c r="BR115" s="5"/>
      <c r="BS115" s="5"/>
      <c r="BT115" s="5"/>
      <c r="BU115" s="6"/>
      <c r="BV115" s="1"/>
      <c r="BW115" s="1"/>
      <c r="BX115" s="1"/>
      <c r="BY115" s="1"/>
      <c r="BZ115" s="1"/>
      <c r="CA115" s="1"/>
      <c r="CB115" s="1"/>
      <c r="CC115" s="1"/>
      <c r="CD115" s="1"/>
      <c r="CE115" s="1"/>
      <c r="CF115" s="1"/>
      <c r="CG115" s="1"/>
      <c r="CH115" s="1"/>
      <c r="CI115" s="1"/>
      <c r="CJ115" s="1"/>
      <c r="CK115" s="1"/>
      <c r="CL115" s="1"/>
      <c r="CM115" s="1"/>
      <c r="CN115" s="1"/>
      <c r="CO115" s="1"/>
      <c r="CP115" s="1"/>
    </row>
    <row r="116" ht="11.25" customHeight="1">
      <c r="A116" s="1"/>
      <c r="B116" s="1"/>
      <c r="C116" s="4" t="s">
        <v>140</v>
      </c>
      <c r="D116" s="5"/>
      <c r="E116" s="5"/>
      <c r="F116" s="5"/>
      <c r="G116" s="6"/>
      <c r="H116" s="26">
        <f>Sum(K116:T116)</f>
        <v>7</v>
      </c>
      <c r="I116" s="5"/>
      <c r="J116" s="6"/>
      <c r="K116" s="9">
        <f>$H$47</f>
        <v>4</v>
      </c>
      <c r="L116" s="5"/>
      <c r="M116" s="6"/>
      <c r="N116" s="9">
        <f>$H$38</f>
        <v>3</v>
      </c>
      <c r="O116" s="5"/>
      <c r="P116" s="6"/>
      <c r="Q116" s="46"/>
      <c r="R116" s="5"/>
      <c r="S116" s="6"/>
      <c r="T116" s="46"/>
      <c r="U116" s="5"/>
      <c r="V116" s="6"/>
      <c r="W116" s="1"/>
      <c r="X116" s="4" t="s">
        <v>141</v>
      </c>
      <c r="Y116" s="5"/>
      <c r="Z116" s="5"/>
      <c r="AA116" s="5"/>
      <c r="AB116" s="6"/>
      <c r="AC116" s="26">
        <f>Sum(AF116:AO116)</f>
        <v>3</v>
      </c>
      <c r="AD116" s="5"/>
      <c r="AE116" s="6"/>
      <c r="AF116" s="9">
        <f>$H$38</f>
        <v>3</v>
      </c>
      <c r="AG116" s="5"/>
      <c r="AH116" s="6"/>
      <c r="AI116" s="9">
        <f>max(0,floor(VLookup("STR",AbilityScores,9,false)/2))</f>
        <v>0</v>
      </c>
      <c r="AJ116" s="5"/>
      <c r="AK116" s="6"/>
      <c r="AL116" s="46"/>
      <c r="AM116" s="5"/>
      <c r="AN116" s="6"/>
      <c r="AO116" s="46"/>
      <c r="AP116" s="5"/>
      <c r="AQ116" s="6"/>
      <c r="AR116" s="1"/>
      <c r="AS116" s="1"/>
      <c r="BE116" s="11"/>
      <c r="BF116" s="12"/>
      <c r="BG116" s="12"/>
      <c r="BH116" s="12"/>
      <c r="BI116" s="12"/>
      <c r="BJ116" s="12"/>
      <c r="BK116" s="12"/>
      <c r="BL116" s="12"/>
      <c r="BM116" s="12"/>
      <c r="BN116" s="12"/>
      <c r="BO116" s="12"/>
      <c r="BP116" s="12"/>
      <c r="BQ116" s="12"/>
      <c r="BR116" s="12"/>
      <c r="BS116" s="12"/>
      <c r="BT116" s="12"/>
      <c r="BU116" s="13"/>
      <c r="BV116" s="1"/>
      <c r="BW116" s="1"/>
      <c r="BX116" s="1"/>
      <c r="BY116" s="1"/>
      <c r="BZ116" s="1"/>
      <c r="CA116" s="1"/>
      <c r="CB116" s="1"/>
      <c r="CC116" s="1"/>
      <c r="CD116" s="1"/>
      <c r="CE116" s="1"/>
      <c r="CF116" s="1"/>
      <c r="CG116" s="1"/>
      <c r="CH116" s="1"/>
      <c r="CI116" s="1"/>
      <c r="CJ116" s="1"/>
      <c r="CK116" s="1"/>
      <c r="CL116" s="1"/>
      <c r="CM116" s="1"/>
      <c r="CN116" s="1"/>
      <c r="CO116" s="1"/>
      <c r="CP116" s="1"/>
    </row>
    <row r="117" ht="11.25" customHeight="1">
      <c r="A117" s="1"/>
      <c r="B117" s="1"/>
      <c r="C117" s="11"/>
      <c r="D117" s="12"/>
      <c r="E117" s="12"/>
      <c r="F117" s="12"/>
      <c r="G117" s="13"/>
      <c r="H117" s="11"/>
      <c r="I117" s="12"/>
      <c r="J117" s="13"/>
      <c r="K117" s="11"/>
      <c r="L117" s="12"/>
      <c r="M117" s="13"/>
      <c r="N117" s="11"/>
      <c r="O117" s="12"/>
      <c r="P117" s="13"/>
      <c r="Q117" s="11"/>
      <c r="R117" s="12"/>
      <c r="S117" s="13"/>
      <c r="T117" s="11"/>
      <c r="U117" s="12"/>
      <c r="V117" s="13"/>
      <c r="W117" s="1"/>
      <c r="X117" s="11"/>
      <c r="Y117" s="12"/>
      <c r="Z117" s="12"/>
      <c r="AA117" s="12"/>
      <c r="AB117" s="13"/>
      <c r="AC117" s="11"/>
      <c r="AD117" s="12"/>
      <c r="AE117" s="13"/>
      <c r="AF117" s="11"/>
      <c r="AG117" s="12"/>
      <c r="AH117" s="13"/>
      <c r="AI117" s="11"/>
      <c r="AJ117" s="12"/>
      <c r="AK117" s="13"/>
      <c r="AL117" s="11"/>
      <c r="AM117" s="12"/>
      <c r="AN117" s="13"/>
      <c r="AO117" s="11"/>
      <c r="AP117" s="12"/>
      <c r="AQ117" s="13"/>
      <c r="AR117" s="1"/>
      <c r="AS117" s="1"/>
      <c r="AT117" s="65" t="str">
        <f>IF($AF$11="No",19,"")</f>
        <v/>
      </c>
      <c r="AV117" s="8" t="s">
        <v>155</v>
      </c>
      <c r="BE117" s="46"/>
      <c r="BF117" s="5"/>
      <c r="BG117" s="5"/>
      <c r="BH117" s="5"/>
      <c r="BI117" s="5"/>
      <c r="BJ117" s="5"/>
      <c r="BK117" s="5"/>
      <c r="BL117" s="5"/>
      <c r="BM117" s="5"/>
      <c r="BN117" s="5"/>
      <c r="BO117" s="5"/>
      <c r="BP117" s="5"/>
      <c r="BQ117" s="5"/>
      <c r="BR117" s="5"/>
      <c r="BS117" s="5"/>
      <c r="BT117" s="5"/>
      <c r="BU117" s="6"/>
      <c r="BV117" s="1"/>
      <c r="BW117" s="1"/>
      <c r="BX117" s="1"/>
      <c r="BY117" s="1"/>
      <c r="BZ117" s="1"/>
      <c r="CA117" s="1"/>
      <c r="CB117" s="1"/>
      <c r="CC117" s="1"/>
      <c r="CD117" s="1"/>
      <c r="CE117" s="1"/>
      <c r="CF117" s="1"/>
      <c r="CG117" s="1"/>
      <c r="CH117" s="1"/>
      <c r="CI117" s="1"/>
      <c r="CJ117" s="1"/>
      <c r="CK117" s="1"/>
      <c r="CL117" s="1"/>
      <c r="CM117" s="1"/>
      <c r="CN117" s="1"/>
      <c r="CO117" s="1"/>
      <c r="CP117" s="1"/>
    </row>
    <row r="118" ht="11.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BE118" s="11"/>
      <c r="BF118" s="12"/>
      <c r="BG118" s="12"/>
      <c r="BH118" s="12"/>
      <c r="BI118" s="12"/>
      <c r="BJ118" s="12"/>
      <c r="BK118" s="12"/>
      <c r="BL118" s="12"/>
      <c r="BM118" s="12"/>
      <c r="BN118" s="12"/>
      <c r="BO118" s="12"/>
      <c r="BP118" s="12"/>
      <c r="BQ118" s="12"/>
      <c r="BR118" s="12"/>
      <c r="BS118" s="12"/>
      <c r="BT118" s="12"/>
      <c r="BU118" s="13"/>
      <c r="BV118" s="1"/>
      <c r="BW118" s="1"/>
      <c r="BX118" s="1"/>
      <c r="BY118" s="1"/>
      <c r="BZ118" s="1"/>
      <c r="CA118" s="1"/>
      <c r="CB118" s="1"/>
      <c r="CC118" s="1"/>
      <c r="CD118" s="1"/>
      <c r="CE118" s="1"/>
      <c r="CF118" s="1"/>
      <c r="CG118" s="1"/>
      <c r="CH118" s="1"/>
      <c r="CI118" s="1"/>
      <c r="CJ118" s="1"/>
      <c r="CK118" s="1"/>
      <c r="CL118" s="1"/>
      <c r="CM118" s="1"/>
      <c r="CN118" s="1"/>
      <c r="CO118" s="1"/>
      <c r="CP118" s="1"/>
    </row>
    <row r="119" ht="11.25" customHeight="1">
      <c r="A119" s="1"/>
      <c r="B119" s="1"/>
      <c r="C119" s="4" t="s">
        <v>143</v>
      </c>
      <c r="D119" s="5"/>
      <c r="E119" s="5"/>
      <c r="F119" s="5"/>
      <c r="G119" s="5"/>
      <c r="H119" s="6"/>
      <c r="I119" s="46"/>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6"/>
      <c r="AR119" s="1"/>
      <c r="AS119" s="1"/>
      <c r="AT119" s="65">
        <f>IF($AF$11="No",5,11)</f>
        <v>11</v>
      </c>
      <c r="AV119" s="8" t="s">
        <v>156</v>
      </c>
      <c r="BE119" s="46" t="str">
        <f>IF($AC$9&gt;=AT119,"Armor +2 (Detecting, Adept (Perception))","")</f>
        <v/>
      </c>
      <c r="BF119" s="5"/>
      <c r="BG119" s="5"/>
      <c r="BH119" s="5"/>
      <c r="BI119" s="5"/>
      <c r="BJ119" s="5"/>
      <c r="BK119" s="5"/>
      <c r="BL119" s="5"/>
      <c r="BM119" s="5"/>
      <c r="BN119" s="5"/>
      <c r="BO119" s="5"/>
      <c r="BP119" s="5"/>
      <c r="BQ119" s="5"/>
      <c r="BR119" s="5"/>
      <c r="BS119" s="5"/>
      <c r="BT119" s="5"/>
      <c r="BU119" s="6"/>
      <c r="BV119" s="1"/>
      <c r="BW119" s="1"/>
      <c r="BX119" s="1"/>
      <c r="BY119" s="1"/>
      <c r="BZ119" s="1"/>
      <c r="CA119" s="1"/>
      <c r="CB119" s="1"/>
      <c r="CC119" s="1"/>
      <c r="CD119" s="1"/>
      <c r="CE119" s="1"/>
      <c r="CF119" s="1"/>
      <c r="CG119" s="1"/>
      <c r="CH119" s="1"/>
      <c r="CI119" s="1"/>
      <c r="CJ119" s="1"/>
      <c r="CK119" s="1"/>
      <c r="CL119" s="1"/>
      <c r="CM119" s="1"/>
      <c r="CN119" s="1"/>
      <c r="CO119" s="1"/>
      <c r="CP119" s="1"/>
    </row>
    <row r="120" ht="11.25" customHeight="1">
      <c r="A120" s="1"/>
      <c r="B120" s="1"/>
      <c r="C120" s="11"/>
      <c r="D120" s="12"/>
      <c r="E120" s="12"/>
      <c r="F120" s="12"/>
      <c r="G120" s="12"/>
      <c r="H120" s="13"/>
      <c r="I120" s="11"/>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3"/>
      <c r="AR120" s="1"/>
      <c r="AS120" s="1"/>
      <c r="BE120" s="11"/>
      <c r="BF120" s="12"/>
      <c r="BG120" s="12"/>
      <c r="BH120" s="12"/>
      <c r="BI120" s="12"/>
      <c r="BJ120" s="12"/>
      <c r="BK120" s="12"/>
      <c r="BL120" s="12"/>
      <c r="BM120" s="12"/>
      <c r="BN120" s="12"/>
      <c r="BO120" s="12"/>
      <c r="BP120" s="12"/>
      <c r="BQ120" s="12"/>
      <c r="BR120" s="12"/>
      <c r="BS120" s="12"/>
      <c r="BT120" s="12"/>
      <c r="BU120" s="13"/>
      <c r="BV120" s="1"/>
      <c r="BW120" s="1"/>
      <c r="BX120" s="1"/>
      <c r="BY120" s="1"/>
      <c r="BZ120" s="1"/>
      <c r="CA120" s="1"/>
      <c r="CB120" s="1"/>
      <c r="CC120" s="1"/>
      <c r="CD120" s="1"/>
      <c r="CE120" s="1"/>
      <c r="CF120" s="1"/>
      <c r="CG120" s="1"/>
      <c r="CH120" s="1"/>
      <c r="CI120" s="1"/>
      <c r="CJ120" s="1"/>
      <c r="CK120" s="1"/>
      <c r="CL120" s="1"/>
      <c r="CM120" s="1"/>
      <c r="CN120" s="1"/>
      <c r="CO120" s="1"/>
      <c r="CP120" s="1"/>
    </row>
    <row r="121" ht="11.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65" t="str">
        <f>IF($AF$11="No",8,"")</f>
        <v/>
      </c>
      <c r="AV121" s="8" t="s">
        <v>157</v>
      </c>
      <c r="BE121" s="46"/>
      <c r="BF121" s="5"/>
      <c r="BG121" s="5"/>
      <c r="BH121" s="5"/>
      <c r="BI121" s="5"/>
      <c r="BJ121" s="5"/>
      <c r="BK121" s="5"/>
      <c r="BL121" s="5"/>
      <c r="BM121" s="5"/>
      <c r="BN121" s="5"/>
      <c r="BO121" s="5"/>
      <c r="BP121" s="5"/>
      <c r="BQ121" s="5"/>
      <c r="BR121" s="5"/>
      <c r="BS121" s="5"/>
      <c r="BT121" s="5"/>
      <c r="BU121" s="6"/>
      <c r="BV121" s="1"/>
      <c r="BW121" s="1"/>
      <c r="BX121" s="1"/>
      <c r="BY121" s="1"/>
      <c r="BZ121" s="1"/>
      <c r="CA121" s="1"/>
      <c r="CB121" s="1"/>
      <c r="CC121" s="1"/>
      <c r="CD121" s="1"/>
      <c r="CE121" s="1"/>
      <c r="CF121" s="1"/>
      <c r="CG121" s="1"/>
      <c r="CH121" s="1"/>
      <c r="CI121" s="1"/>
      <c r="CJ121" s="1"/>
      <c r="CK121" s="1"/>
      <c r="CL121" s="1"/>
      <c r="CM121" s="1"/>
      <c r="CN121" s="1"/>
      <c r="CO121" s="1"/>
      <c r="CP121" s="1"/>
    </row>
    <row r="122" ht="11.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BE122" s="11"/>
      <c r="BF122" s="12"/>
      <c r="BG122" s="12"/>
      <c r="BH122" s="12"/>
      <c r="BI122" s="12"/>
      <c r="BJ122" s="12"/>
      <c r="BK122" s="12"/>
      <c r="BL122" s="12"/>
      <c r="BM122" s="12"/>
      <c r="BN122" s="12"/>
      <c r="BO122" s="12"/>
      <c r="BP122" s="12"/>
      <c r="BQ122" s="12"/>
      <c r="BR122" s="12"/>
      <c r="BS122" s="12"/>
      <c r="BT122" s="12"/>
      <c r="BU122" s="13"/>
      <c r="BV122" s="1"/>
      <c r="BW122" s="1"/>
      <c r="BX122" s="1"/>
      <c r="BY122" s="1"/>
      <c r="BZ122" s="1"/>
      <c r="CA122" s="1"/>
      <c r="CB122" s="1"/>
      <c r="CC122" s="1"/>
      <c r="CD122" s="1"/>
      <c r="CE122" s="1"/>
      <c r="CF122" s="1"/>
      <c r="CG122" s="1"/>
      <c r="CH122" s="1"/>
      <c r="CI122" s="1"/>
      <c r="CJ122" s="1"/>
      <c r="CK122" s="1"/>
      <c r="CL122" s="1"/>
      <c r="CM122" s="1"/>
      <c r="CN122" s="1"/>
      <c r="CO122" s="1"/>
      <c r="CP122" s="1"/>
    </row>
    <row r="123" ht="11.25" customHeight="1">
      <c r="A123" s="1"/>
      <c r="B123" s="1"/>
      <c r="C123" s="4" t="s">
        <v>158</v>
      </c>
      <c r="D123" s="5"/>
      <c r="E123" s="5"/>
      <c r="F123" s="5"/>
      <c r="G123" s="5"/>
      <c r="H123" s="6"/>
      <c r="I123" s="46"/>
      <c r="J123" s="5"/>
      <c r="K123" s="5"/>
      <c r="L123" s="5"/>
      <c r="M123" s="5"/>
      <c r="N123" s="5"/>
      <c r="O123" s="5"/>
      <c r="P123" s="5"/>
      <c r="Q123" s="5"/>
      <c r="R123" s="5"/>
      <c r="S123" s="5"/>
      <c r="T123" s="5"/>
      <c r="U123" s="5"/>
      <c r="V123" s="5"/>
      <c r="W123" s="5"/>
      <c r="X123" s="5"/>
      <c r="Y123" s="5"/>
      <c r="Z123" s="5"/>
      <c r="AA123" s="5"/>
      <c r="AB123" s="5"/>
      <c r="AC123" s="5"/>
      <c r="AD123" s="5"/>
      <c r="AE123" s="6"/>
      <c r="AF123" s="1"/>
      <c r="AG123" s="4" t="s">
        <v>69</v>
      </c>
      <c r="AH123" s="5"/>
      <c r="AI123" s="5"/>
      <c r="AJ123" s="5"/>
      <c r="AK123" s="6"/>
      <c r="AL123" s="46"/>
      <c r="AM123" s="5"/>
      <c r="AN123" s="5"/>
      <c r="AO123" s="5"/>
      <c r="AP123" s="5"/>
      <c r="AQ123" s="6"/>
      <c r="AR123" s="1"/>
      <c r="AS123" s="1"/>
      <c r="AT123" s="65" t="str">
        <f>IF($AF$11="No",13,"")</f>
        <v/>
      </c>
      <c r="AV123" s="8" t="s">
        <v>159</v>
      </c>
      <c r="BE123" s="46"/>
      <c r="BF123" s="5"/>
      <c r="BG123" s="5"/>
      <c r="BH123" s="5"/>
      <c r="BI123" s="5"/>
      <c r="BJ123" s="5"/>
      <c r="BK123" s="5"/>
      <c r="BL123" s="5"/>
      <c r="BM123" s="5"/>
      <c r="BN123" s="5"/>
      <c r="BO123" s="5"/>
      <c r="BP123" s="5"/>
      <c r="BQ123" s="5"/>
      <c r="BR123" s="5"/>
      <c r="BS123" s="5"/>
      <c r="BT123" s="5"/>
      <c r="BU123" s="6"/>
      <c r="BV123" s="1"/>
      <c r="BW123" s="1"/>
      <c r="BX123" s="1"/>
      <c r="BY123" s="1"/>
      <c r="BZ123" s="1"/>
      <c r="CA123" s="1"/>
      <c r="CB123" s="1"/>
      <c r="CC123" s="1"/>
      <c r="CD123" s="1"/>
      <c r="CE123" s="1"/>
      <c r="CF123" s="1"/>
      <c r="CG123" s="1"/>
      <c r="CH123" s="1"/>
      <c r="CI123" s="1"/>
      <c r="CJ123" s="1"/>
      <c r="CK123" s="1"/>
      <c r="CL123" s="1"/>
      <c r="CM123" s="1"/>
      <c r="CN123" s="1"/>
      <c r="CO123" s="1"/>
      <c r="CP123" s="1"/>
    </row>
    <row r="124" ht="11.25" customHeight="1">
      <c r="A124" s="1"/>
      <c r="B124" s="1"/>
      <c r="C124" s="11"/>
      <c r="D124" s="12"/>
      <c r="E124" s="12"/>
      <c r="F124" s="12"/>
      <c r="G124" s="12"/>
      <c r="H124" s="13"/>
      <c r="I124" s="11"/>
      <c r="J124" s="12"/>
      <c r="K124" s="12"/>
      <c r="L124" s="12"/>
      <c r="M124" s="12"/>
      <c r="N124" s="12"/>
      <c r="O124" s="12"/>
      <c r="P124" s="12"/>
      <c r="Q124" s="12"/>
      <c r="R124" s="12"/>
      <c r="S124" s="12"/>
      <c r="T124" s="12"/>
      <c r="U124" s="12"/>
      <c r="V124" s="12"/>
      <c r="W124" s="12"/>
      <c r="X124" s="12"/>
      <c r="Y124" s="12"/>
      <c r="Z124" s="12"/>
      <c r="AA124" s="12"/>
      <c r="AB124" s="12"/>
      <c r="AC124" s="12"/>
      <c r="AD124" s="12"/>
      <c r="AE124" s="13"/>
      <c r="AF124" s="1"/>
      <c r="AG124" s="11"/>
      <c r="AH124" s="12"/>
      <c r="AI124" s="12"/>
      <c r="AJ124" s="12"/>
      <c r="AK124" s="13"/>
      <c r="AL124" s="11"/>
      <c r="AM124" s="12"/>
      <c r="AN124" s="12"/>
      <c r="AO124" s="12"/>
      <c r="AP124" s="12"/>
      <c r="AQ124" s="13"/>
      <c r="AR124" s="1"/>
      <c r="AS124" s="1"/>
      <c r="BE124" s="11"/>
      <c r="BF124" s="12"/>
      <c r="BG124" s="12"/>
      <c r="BH124" s="12"/>
      <c r="BI124" s="12"/>
      <c r="BJ124" s="12"/>
      <c r="BK124" s="12"/>
      <c r="BL124" s="12"/>
      <c r="BM124" s="12"/>
      <c r="BN124" s="12"/>
      <c r="BO124" s="12"/>
      <c r="BP124" s="12"/>
      <c r="BQ124" s="12"/>
      <c r="BR124" s="12"/>
      <c r="BS124" s="12"/>
      <c r="BT124" s="12"/>
      <c r="BU124" s="13"/>
      <c r="BV124" s="1"/>
      <c r="BW124" s="1"/>
      <c r="BX124" s="1"/>
      <c r="BY124" s="1"/>
      <c r="BZ124" s="1"/>
      <c r="CA124" s="1"/>
      <c r="CB124" s="1"/>
      <c r="CC124" s="1"/>
      <c r="CD124" s="1"/>
      <c r="CE124" s="1"/>
      <c r="CF124" s="1"/>
      <c r="CG124" s="1"/>
      <c r="CH124" s="1"/>
      <c r="CI124" s="1"/>
      <c r="CJ124" s="1"/>
      <c r="CK124" s="1"/>
      <c r="CL124" s="1"/>
      <c r="CM124" s="1"/>
      <c r="CN124" s="1"/>
      <c r="CO124" s="1"/>
      <c r="CP124" s="1"/>
    </row>
    <row r="125" ht="11.25" customHeight="1">
      <c r="A125" s="1"/>
      <c r="B125" s="1"/>
      <c r="C125" s="1"/>
      <c r="D125" s="1"/>
      <c r="E125" s="1"/>
      <c r="F125" s="1"/>
      <c r="G125" s="1"/>
      <c r="H125" s="20" t="s">
        <v>35</v>
      </c>
      <c r="K125" s="20" t="s">
        <v>91</v>
      </c>
      <c r="N125" s="20" t="s">
        <v>74</v>
      </c>
      <c r="Q125" s="20" t="s">
        <v>130</v>
      </c>
      <c r="T125" s="20" t="s">
        <v>30</v>
      </c>
      <c r="W125" s="1"/>
      <c r="X125" s="1"/>
      <c r="Y125" s="1"/>
      <c r="Z125" s="1"/>
      <c r="AA125" s="1"/>
      <c r="AB125" s="1"/>
      <c r="AC125" s="20" t="s">
        <v>35</v>
      </c>
      <c r="AF125" s="20" t="s">
        <v>74</v>
      </c>
      <c r="AI125" s="20" t="s">
        <v>138</v>
      </c>
      <c r="AL125" s="20" t="s">
        <v>139</v>
      </c>
      <c r="AO125" s="20" t="s">
        <v>30</v>
      </c>
      <c r="AR125" s="1"/>
      <c r="AS125" s="1"/>
      <c r="AT125" s="65" t="str">
        <f>IF($AF$11="No",16,"")</f>
        <v/>
      </c>
      <c r="AV125" s="8" t="s">
        <v>160</v>
      </c>
      <c r="BE125" s="46"/>
      <c r="BF125" s="5"/>
      <c r="BG125" s="5"/>
      <c r="BH125" s="5"/>
      <c r="BI125" s="5"/>
      <c r="BJ125" s="5"/>
      <c r="BK125" s="5"/>
      <c r="BL125" s="5"/>
      <c r="BM125" s="5"/>
      <c r="BN125" s="5"/>
      <c r="BO125" s="5"/>
      <c r="BP125" s="5"/>
      <c r="BQ125" s="5"/>
      <c r="BR125" s="5"/>
      <c r="BS125" s="5"/>
      <c r="BT125" s="5"/>
      <c r="BU125" s="6"/>
      <c r="BV125" s="1"/>
      <c r="BW125" s="1"/>
      <c r="BX125" s="1"/>
      <c r="BY125" s="1"/>
      <c r="BZ125" s="1"/>
      <c r="CA125" s="1"/>
      <c r="CB125" s="1"/>
      <c r="CC125" s="1"/>
      <c r="CD125" s="1"/>
      <c r="CE125" s="1"/>
      <c r="CF125" s="1"/>
      <c r="CG125" s="1"/>
      <c r="CH125" s="1"/>
      <c r="CI125" s="1"/>
      <c r="CJ125" s="1"/>
      <c r="CK125" s="1"/>
      <c r="CL125" s="1"/>
      <c r="CM125" s="1"/>
      <c r="CN125" s="1"/>
      <c r="CO125" s="1"/>
      <c r="CP125" s="1"/>
    </row>
    <row r="126" ht="11.25" customHeight="1">
      <c r="A126" s="1"/>
      <c r="B126" s="1"/>
      <c r="C126" s="4" t="s">
        <v>140</v>
      </c>
      <c r="D126" s="5"/>
      <c r="E126" s="5"/>
      <c r="F126" s="5"/>
      <c r="G126" s="6"/>
      <c r="H126" s="26">
        <f>Sum(K126:T126)</f>
        <v>7</v>
      </c>
      <c r="I126" s="5"/>
      <c r="J126" s="6"/>
      <c r="K126" s="9">
        <f>$H$47</f>
        <v>4</v>
      </c>
      <c r="L126" s="5"/>
      <c r="M126" s="6"/>
      <c r="N126" s="9">
        <f>$H$38</f>
        <v>3</v>
      </c>
      <c r="O126" s="5"/>
      <c r="P126" s="6"/>
      <c r="Q126" s="46"/>
      <c r="R126" s="5"/>
      <c r="S126" s="6"/>
      <c r="T126" s="46"/>
      <c r="U126" s="5"/>
      <c r="V126" s="6"/>
      <c r="W126" s="1"/>
      <c r="X126" s="4" t="s">
        <v>141</v>
      </c>
      <c r="Y126" s="5"/>
      <c r="Z126" s="5"/>
      <c r="AA126" s="5"/>
      <c r="AB126" s="6"/>
      <c r="AC126" s="26">
        <f>Sum(AF126:AO126)</f>
        <v>3</v>
      </c>
      <c r="AD126" s="5"/>
      <c r="AE126" s="6"/>
      <c r="AF126" s="9">
        <f>$H$38</f>
        <v>3</v>
      </c>
      <c r="AG126" s="5"/>
      <c r="AH126" s="6"/>
      <c r="AI126" s="9">
        <f>max(0,floor(VLookup("STR",AbilityScores,9,false)/2))</f>
        <v>0</v>
      </c>
      <c r="AJ126" s="5"/>
      <c r="AK126" s="6"/>
      <c r="AL126" s="46"/>
      <c r="AM126" s="5"/>
      <c r="AN126" s="6"/>
      <c r="AO126" s="46"/>
      <c r="AP126" s="5"/>
      <c r="AQ126" s="6"/>
      <c r="AR126" s="1"/>
      <c r="AS126" s="1"/>
      <c r="BE126" s="11"/>
      <c r="BF126" s="12"/>
      <c r="BG126" s="12"/>
      <c r="BH126" s="12"/>
      <c r="BI126" s="12"/>
      <c r="BJ126" s="12"/>
      <c r="BK126" s="12"/>
      <c r="BL126" s="12"/>
      <c r="BM126" s="12"/>
      <c r="BN126" s="12"/>
      <c r="BO126" s="12"/>
      <c r="BP126" s="12"/>
      <c r="BQ126" s="12"/>
      <c r="BR126" s="12"/>
      <c r="BS126" s="12"/>
      <c r="BT126" s="12"/>
      <c r="BU126" s="13"/>
      <c r="BV126" s="1"/>
      <c r="BW126" s="1"/>
      <c r="BX126" s="1"/>
      <c r="BY126" s="1"/>
      <c r="BZ126" s="1"/>
      <c r="CA126" s="1"/>
      <c r="CB126" s="1"/>
      <c r="CC126" s="1"/>
      <c r="CD126" s="1"/>
      <c r="CE126" s="1"/>
      <c r="CF126" s="1"/>
      <c r="CG126" s="1"/>
      <c r="CH126" s="1"/>
      <c r="CI126" s="1"/>
      <c r="CJ126" s="1"/>
      <c r="CK126" s="1"/>
      <c r="CL126" s="1"/>
      <c r="CM126" s="1"/>
      <c r="CN126" s="1"/>
      <c r="CO126" s="1"/>
      <c r="CP126" s="1"/>
    </row>
    <row r="127" ht="11.25" customHeight="1">
      <c r="A127" s="1"/>
      <c r="B127" s="1"/>
      <c r="C127" s="11"/>
      <c r="D127" s="12"/>
      <c r="E127" s="12"/>
      <c r="F127" s="12"/>
      <c r="G127" s="13"/>
      <c r="H127" s="11"/>
      <c r="I127" s="12"/>
      <c r="J127" s="13"/>
      <c r="K127" s="11"/>
      <c r="L127" s="12"/>
      <c r="M127" s="13"/>
      <c r="N127" s="11"/>
      <c r="O127" s="12"/>
      <c r="P127" s="13"/>
      <c r="Q127" s="11"/>
      <c r="R127" s="12"/>
      <c r="S127" s="13"/>
      <c r="T127" s="11"/>
      <c r="U127" s="12"/>
      <c r="V127" s="13"/>
      <c r="W127" s="1"/>
      <c r="X127" s="11"/>
      <c r="Y127" s="12"/>
      <c r="Z127" s="12"/>
      <c r="AA127" s="12"/>
      <c r="AB127" s="13"/>
      <c r="AC127" s="11"/>
      <c r="AD127" s="12"/>
      <c r="AE127" s="13"/>
      <c r="AF127" s="11"/>
      <c r="AG127" s="12"/>
      <c r="AH127" s="13"/>
      <c r="AI127" s="11"/>
      <c r="AJ127" s="12"/>
      <c r="AK127" s="13"/>
      <c r="AL127" s="11"/>
      <c r="AM127" s="12"/>
      <c r="AN127" s="13"/>
      <c r="AO127" s="11"/>
      <c r="AP127" s="12"/>
      <c r="AQ127" s="13"/>
      <c r="AR127" s="1"/>
      <c r="AS127" s="1"/>
      <c r="AT127" s="65">
        <f>IF($AF$11="No",10,17)</f>
        <v>17</v>
      </c>
      <c r="AV127" s="8" t="s">
        <v>161</v>
      </c>
      <c r="BE127" s="46" t="str">
        <f>IF($AC$9&gt;=AT127,"True Symbol","")</f>
        <v/>
      </c>
      <c r="BF127" s="5"/>
      <c r="BG127" s="5"/>
      <c r="BH127" s="5"/>
      <c r="BI127" s="5"/>
      <c r="BJ127" s="5"/>
      <c r="BK127" s="5"/>
      <c r="BL127" s="5"/>
      <c r="BM127" s="5"/>
      <c r="BN127" s="5"/>
      <c r="BO127" s="5"/>
      <c r="BP127" s="5"/>
      <c r="BQ127" s="5"/>
      <c r="BR127" s="5"/>
      <c r="BS127" s="5"/>
      <c r="BT127" s="5"/>
      <c r="BU127" s="6"/>
      <c r="BV127" s="1"/>
      <c r="BW127" s="1"/>
      <c r="BX127" s="1"/>
      <c r="BY127" s="1"/>
      <c r="BZ127" s="1"/>
      <c r="CA127" s="1"/>
      <c r="CB127" s="1"/>
      <c r="CC127" s="1"/>
      <c r="CD127" s="1"/>
      <c r="CE127" s="1"/>
      <c r="CF127" s="1"/>
      <c r="CG127" s="1"/>
      <c r="CH127" s="1"/>
      <c r="CI127" s="1"/>
      <c r="CJ127" s="1"/>
      <c r="CK127" s="1"/>
      <c r="CL127" s="1"/>
      <c r="CM127" s="1"/>
      <c r="CN127" s="1"/>
      <c r="CO127" s="1"/>
      <c r="CP127" s="1"/>
    </row>
    <row r="128" ht="11.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BE128" s="11"/>
      <c r="BF128" s="12"/>
      <c r="BG128" s="12"/>
      <c r="BH128" s="12"/>
      <c r="BI128" s="12"/>
      <c r="BJ128" s="12"/>
      <c r="BK128" s="12"/>
      <c r="BL128" s="12"/>
      <c r="BM128" s="12"/>
      <c r="BN128" s="12"/>
      <c r="BO128" s="12"/>
      <c r="BP128" s="12"/>
      <c r="BQ128" s="12"/>
      <c r="BR128" s="12"/>
      <c r="BS128" s="12"/>
      <c r="BT128" s="12"/>
      <c r="BU128" s="13"/>
      <c r="BV128" s="1"/>
      <c r="BW128" s="1"/>
      <c r="BX128" s="1"/>
      <c r="BY128" s="1"/>
      <c r="BZ128" s="1"/>
      <c r="CA128" s="1"/>
      <c r="CB128" s="1"/>
      <c r="CC128" s="1"/>
      <c r="CD128" s="1"/>
      <c r="CE128" s="1"/>
      <c r="CF128" s="1"/>
      <c r="CG128" s="1"/>
      <c r="CH128" s="1"/>
      <c r="CI128" s="1"/>
      <c r="CJ128" s="1"/>
      <c r="CK128" s="1"/>
      <c r="CL128" s="1"/>
      <c r="CM128" s="1"/>
      <c r="CN128" s="1"/>
      <c r="CO128" s="1"/>
      <c r="CP128" s="1"/>
    </row>
    <row r="129" ht="11.25" customHeight="1">
      <c r="A129" s="1"/>
      <c r="B129" s="1"/>
      <c r="C129" s="4" t="s">
        <v>143</v>
      </c>
      <c r="D129" s="5"/>
      <c r="E129" s="5"/>
      <c r="F129" s="5"/>
      <c r="G129" s="5"/>
      <c r="H129" s="6"/>
      <c r="I129" s="46"/>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6"/>
      <c r="AR129" s="1"/>
      <c r="AS129" s="1"/>
      <c r="AT129" s="65" t="str">
        <f>IF($AF$11="No",14,"")</f>
        <v/>
      </c>
      <c r="AV129" s="8" t="s">
        <v>162</v>
      </c>
      <c r="BE129" s="46"/>
      <c r="BF129" s="5"/>
      <c r="BG129" s="5"/>
      <c r="BH129" s="5"/>
      <c r="BI129" s="5"/>
      <c r="BJ129" s="5"/>
      <c r="BK129" s="5"/>
      <c r="BL129" s="5"/>
      <c r="BM129" s="5"/>
      <c r="BN129" s="5"/>
      <c r="BO129" s="5"/>
      <c r="BP129" s="5"/>
      <c r="BQ129" s="5"/>
      <c r="BR129" s="5"/>
      <c r="BS129" s="5"/>
      <c r="BT129" s="5"/>
      <c r="BU129" s="6"/>
      <c r="BV129" s="1"/>
      <c r="BW129" s="1"/>
      <c r="BX129" s="1"/>
      <c r="BY129" s="1"/>
      <c r="BZ129" s="1"/>
      <c r="CA129" s="1"/>
      <c r="CB129" s="1"/>
      <c r="CC129" s="1"/>
      <c r="CD129" s="1"/>
      <c r="CE129" s="1"/>
      <c r="CF129" s="1"/>
      <c r="CG129" s="1"/>
      <c r="CH129" s="1"/>
      <c r="CI129" s="1"/>
      <c r="CJ129" s="1"/>
      <c r="CK129" s="1"/>
      <c r="CL129" s="1"/>
      <c r="CM129" s="1"/>
      <c r="CN129" s="1"/>
      <c r="CO129" s="1"/>
      <c r="CP129" s="1"/>
    </row>
    <row r="130" ht="11.25" customHeight="1">
      <c r="A130" s="1"/>
      <c r="B130" s="1"/>
      <c r="C130" s="11"/>
      <c r="D130" s="12"/>
      <c r="E130" s="12"/>
      <c r="F130" s="12"/>
      <c r="G130" s="12"/>
      <c r="H130" s="13"/>
      <c r="I130" s="11"/>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3"/>
      <c r="AR130" s="1"/>
      <c r="AS130" s="1"/>
      <c r="BE130" s="11"/>
      <c r="BF130" s="12"/>
      <c r="BG130" s="12"/>
      <c r="BH130" s="12"/>
      <c r="BI130" s="12"/>
      <c r="BJ130" s="12"/>
      <c r="BK130" s="12"/>
      <c r="BL130" s="12"/>
      <c r="BM130" s="12"/>
      <c r="BN130" s="12"/>
      <c r="BO130" s="12"/>
      <c r="BP130" s="12"/>
      <c r="BQ130" s="12"/>
      <c r="BR130" s="12"/>
      <c r="BS130" s="12"/>
      <c r="BT130" s="12"/>
      <c r="BU130" s="13"/>
      <c r="BV130" s="1"/>
      <c r="BW130" s="1"/>
      <c r="BX130" s="1"/>
      <c r="BY130" s="1"/>
      <c r="BZ130" s="1"/>
      <c r="CA130" s="1"/>
      <c r="CB130" s="1"/>
      <c r="CC130" s="1"/>
      <c r="CD130" s="1"/>
      <c r="CE130" s="1"/>
      <c r="CF130" s="1"/>
      <c r="CG130" s="1"/>
      <c r="CH130" s="1"/>
      <c r="CI130" s="1"/>
      <c r="CJ130" s="1"/>
      <c r="CK130" s="1"/>
      <c r="CL130" s="1"/>
      <c r="CM130" s="1"/>
      <c r="CN130" s="1"/>
      <c r="CO130" s="1"/>
      <c r="CP130" s="1"/>
    </row>
    <row r="131" ht="11.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65" t="str">
        <f>IF($AF$11="No",17,"")</f>
        <v/>
      </c>
      <c r="AV131" s="8" t="s">
        <v>163</v>
      </c>
      <c r="BE131" s="46"/>
      <c r="BF131" s="5"/>
      <c r="BG131" s="5"/>
      <c r="BH131" s="5"/>
      <c r="BI131" s="5"/>
      <c r="BJ131" s="5"/>
      <c r="BK131" s="5"/>
      <c r="BL131" s="5"/>
      <c r="BM131" s="5"/>
      <c r="BN131" s="5"/>
      <c r="BO131" s="5"/>
      <c r="BP131" s="5"/>
      <c r="BQ131" s="5"/>
      <c r="BR131" s="5"/>
      <c r="BS131" s="5"/>
      <c r="BT131" s="5"/>
      <c r="BU131" s="6"/>
      <c r="BV131" s="1"/>
      <c r="BW131" s="1"/>
      <c r="BX131" s="1"/>
      <c r="BY131" s="1"/>
      <c r="BZ131" s="1"/>
      <c r="CA131" s="1"/>
      <c r="CB131" s="1"/>
      <c r="CC131" s="1"/>
      <c r="CD131" s="1"/>
      <c r="CE131" s="1"/>
      <c r="CF131" s="1"/>
      <c r="CG131" s="1"/>
      <c r="CH131" s="1"/>
      <c r="CI131" s="1"/>
      <c r="CJ131" s="1"/>
      <c r="CK131" s="1"/>
      <c r="CL131" s="1"/>
      <c r="CM131" s="1"/>
      <c r="CN131" s="1"/>
      <c r="CO131" s="1"/>
      <c r="CP131" s="1"/>
    </row>
    <row r="132" ht="11.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BE132" s="11"/>
      <c r="BF132" s="12"/>
      <c r="BG132" s="12"/>
      <c r="BH132" s="12"/>
      <c r="BI132" s="12"/>
      <c r="BJ132" s="12"/>
      <c r="BK132" s="12"/>
      <c r="BL132" s="12"/>
      <c r="BM132" s="12"/>
      <c r="BN132" s="12"/>
      <c r="BO132" s="12"/>
      <c r="BP132" s="12"/>
      <c r="BQ132" s="12"/>
      <c r="BR132" s="12"/>
      <c r="BS132" s="12"/>
      <c r="BT132" s="12"/>
      <c r="BU132" s="13"/>
      <c r="BV132" s="1"/>
      <c r="BW132" s="1"/>
      <c r="BX132" s="1"/>
      <c r="BY132" s="1"/>
      <c r="BZ132" s="1"/>
      <c r="CA132" s="1"/>
      <c r="CB132" s="1"/>
      <c r="CC132" s="1"/>
      <c r="CD132" s="1"/>
      <c r="CE132" s="1"/>
      <c r="CF132" s="1"/>
      <c r="CG132" s="1"/>
      <c r="CH132" s="1"/>
      <c r="CI132" s="1"/>
      <c r="CJ132" s="1"/>
      <c r="CK132" s="1"/>
      <c r="CL132" s="1"/>
      <c r="CM132" s="1"/>
      <c r="CN132" s="1"/>
      <c r="CO132" s="1"/>
      <c r="CP132" s="1"/>
    </row>
    <row r="133" ht="11.25" customHeight="1">
      <c r="A133" s="1"/>
      <c r="B133" s="1"/>
      <c r="C133" s="4" t="s">
        <v>164</v>
      </c>
      <c r="D133" s="5"/>
      <c r="E133" s="5"/>
      <c r="F133" s="5"/>
      <c r="G133" s="5"/>
      <c r="H133" s="6"/>
      <c r="I133" s="46"/>
      <c r="J133" s="5"/>
      <c r="K133" s="5"/>
      <c r="L133" s="5"/>
      <c r="M133" s="5"/>
      <c r="N133" s="5"/>
      <c r="O133" s="5"/>
      <c r="P133" s="5"/>
      <c r="Q133" s="5"/>
      <c r="R133" s="5"/>
      <c r="S133" s="5"/>
      <c r="T133" s="5"/>
      <c r="U133" s="5"/>
      <c r="V133" s="5"/>
      <c r="W133" s="5"/>
      <c r="X133" s="5"/>
      <c r="Y133" s="5"/>
      <c r="Z133" s="5"/>
      <c r="AA133" s="5"/>
      <c r="AB133" s="5"/>
      <c r="AC133" s="5"/>
      <c r="AD133" s="5"/>
      <c r="AE133" s="6"/>
      <c r="AF133" s="1"/>
      <c r="AG133" s="4" t="s">
        <v>69</v>
      </c>
      <c r="AH133" s="5"/>
      <c r="AI133" s="5"/>
      <c r="AJ133" s="5"/>
      <c r="AK133" s="6"/>
      <c r="AL133" s="46"/>
      <c r="AM133" s="5"/>
      <c r="AN133" s="5"/>
      <c r="AO133" s="5"/>
      <c r="AP133" s="5"/>
      <c r="AQ133" s="6"/>
      <c r="AR133" s="1"/>
      <c r="AS133" s="1"/>
      <c r="AT133" s="66" t="s">
        <v>165</v>
      </c>
      <c r="AV133" s="8" t="s">
        <v>166</v>
      </c>
      <c r="BE133" s="46"/>
      <c r="BF133" s="5"/>
      <c r="BG133" s="5"/>
      <c r="BH133" s="5"/>
      <c r="BI133" s="5"/>
      <c r="BJ133" s="5"/>
      <c r="BK133" s="5"/>
      <c r="BL133" s="5"/>
      <c r="BM133" s="5"/>
      <c r="BN133" s="5"/>
      <c r="BO133" s="5"/>
      <c r="BP133" s="5"/>
      <c r="BQ133" s="5"/>
      <c r="BR133" s="5"/>
      <c r="BS133" s="5"/>
      <c r="BT133" s="5"/>
      <c r="BU133" s="6"/>
      <c r="BV133" s="1"/>
      <c r="BW133" s="1"/>
      <c r="BX133" s="1"/>
      <c r="BY133" s="1"/>
      <c r="BZ133" s="1"/>
      <c r="CA133" s="1"/>
      <c r="CB133" s="1"/>
      <c r="CC133" s="1"/>
      <c r="CD133" s="1"/>
      <c r="CE133" s="1"/>
      <c r="CF133" s="1"/>
      <c r="CG133" s="1"/>
      <c r="CH133" s="1"/>
      <c r="CI133" s="1"/>
      <c r="CJ133" s="1"/>
      <c r="CK133" s="1"/>
      <c r="CL133" s="1"/>
      <c r="CM133" s="1"/>
      <c r="CN133" s="1"/>
      <c r="CO133" s="1"/>
      <c r="CP133" s="1"/>
    </row>
    <row r="134" ht="11.25" customHeight="1">
      <c r="A134" s="1"/>
      <c r="B134" s="1"/>
      <c r="C134" s="11"/>
      <c r="D134" s="12"/>
      <c r="E134" s="12"/>
      <c r="F134" s="12"/>
      <c r="G134" s="12"/>
      <c r="H134" s="13"/>
      <c r="I134" s="11"/>
      <c r="J134" s="12"/>
      <c r="K134" s="12"/>
      <c r="L134" s="12"/>
      <c r="M134" s="12"/>
      <c r="N134" s="12"/>
      <c r="O134" s="12"/>
      <c r="P134" s="12"/>
      <c r="Q134" s="12"/>
      <c r="R134" s="12"/>
      <c r="S134" s="12"/>
      <c r="T134" s="12"/>
      <c r="U134" s="12"/>
      <c r="V134" s="12"/>
      <c r="W134" s="12"/>
      <c r="X134" s="12"/>
      <c r="Y134" s="12"/>
      <c r="Z134" s="12"/>
      <c r="AA134" s="12"/>
      <c r="AB134" s="12"/>
      <c r="AC134" s="12"/>
      <c r="AD134" s="12"/>
      <c r="AE134" s="13"/>
      <c r="AF134" s="1"/>
      <c r="AG134" s="11"/>
      <c r="AH134" s="12"/>
      <c r="AI134" s="12"/>
      <c r="AJ134" s="12"/>
      <c r="AK134" s="13"/>
      <c r="AL134" s="11"/>
      <c r="AM134" s="12"/>
      <c r="AN134" s="12"/>
      <c r="AO134" s="12"/>
      <c r="AP134" s="12"/>
      <c r="AQ134" s="13"/>
      <c r="AR134" s="1"/>
      <c r="AS134" s="1"/>
      <c r="BE134" s="11"/>
      <c r="BF134" s="12"/>
      <c r="BG134" s="12"/>
      <c r="BH134" s="12"/>
      <c r="BI134" s="12"/>
      <c r="BJ134" s="12"/>
      <c r="BK134" s="12"/>
      <c r="BL134" s="12"/>
      <c r="BM134" s="12"/>
      <c r="BN134" s="12"/>
      <c r="BO134" s="12"/>
      <c r="BP134" s="12"/>
      <c r="BQ134" s="12"/>
      <c r="BR134" s="12"/>
      <c r="BS134" s="12"/>
      <c r="BT134" s="12"/>
      <c r="BU134" s="13"/>
      <c r="BV134" s="1"/>
      <c r="BW134" s="1"/>
      <c r="BX134" s="1"/>
      <c r="BY134" s="1"/>
      <c r="BZ134" s="1"/>
      <c r="CA134" s="1"/>
      <c r="CB134" s="1"/>
      <c r="CC134" s="1"/>
      <c r="CD134" s="1"/>
      <c r="CE134" s="1"/>
      <c r="CF134" s="1"/>
      <c r="CG134" s="1"/>
      <c r="CH134" s="1"/>
      <c r="CI134" s="1"/>
      <c r="CJ134" s="1"/>
      <c r="CK134" s="1"/>
      <c r="CL134" s="1"/>
      <c r="CM134" s="1"/>
      <c r="CN134" s="1"/>
      <c r="CO134" s="1"/>
      <c r="CP134" s="1"/>
    </row>
    <row r="135" ht="11.25" customHeight="1">
      <c r="A135" s="1"/>
      <c r="B135" s="1"/>
      <c r="C135" s="1"/>
      <c r="D135" s="1"/>
      <c r="E135" s="1"/>
      <c r="F135" s="1"/>
      <c r="G135" s="1"/>
      <c r="H135" s="20" t="s">
        <v>35</v>
      </c>
      <c r="K135" s="20" t="s">
        <v>91</v>
      </c>
      <c r="N135" s="20" t="s">
        <v>74</v>
      </c>
      <c r="Q135" s="20" t="s">
        <v>130</v>
      </c>
      <c r="T135" s="20" t="s">
        <v>30</v>
      </c>
      <c r="W135" s="1"/>
      <c r="X135" s="1"/>
      <c r="Y135" s="1"/>
      <c r="Z135" s="1"/>
      <c r="AA135" s="1"/>
      <c r="AB135" s="1"/>
      <c r="AC135" s="20" t="s">
        <v>35</v>
      </c>
      <c r="AF135" s="20" t="s">
        <v>74</v>
      </c>
      <c r="AI135" s="20" t="s">
        <v>138</v>
      </c>
      <c r="AL135" s="20" t="s">
        <v>139</v>
      </c>
      <c r="AO135" s="20" t="s">
        <v>30</v>
      </c>
      <c r="AR135" s="1"/>
      <c r="AS135" s="1"/>
      <c r="AT135" s="66" t="s">
        <v>165</v>
      </c>
      <c r="AV135" s="8" t="s">
        <v>167</v>
      </c>
      <c r="BE135" s="46"/>
      <c r="BF135" s="5"/>
      <c r="BG135" s="5"/>
      <c r="BH135" s="5"/>
      <c r="BI135" s="5"/>
      <c r="BJ135" s="5"/>
      <c r="BK135" s="5"/>
      <c r="BL135" s="5"/>
      <c r="BM135" s="5"/>
      <c r="BN135" s="5"/>
      <c r="BO135" s="5"/>
      <c r="BP135" s="5"/>
      <c r="BQ135" s="5"/>
      <c r="BR135" s="5"/>
      <c r="BS135" s="5"/>
      <c r="BT135" s="5"/>
      <c r="BU135" s="6"/>
      <c r="BV135" s="1"/>
      <c r="BW135" s="1"/>
      <c r="BX135" s="1"/>
      <c r="BY135" s="1"/>
      <c r="BZ135" s="1"/>
      <c r="CA135" s="1"/>
      <c r="CB135" s="1"/>
      <c r="CC135" s="1"/>
      <c r="CD135" s="1"/>
      <c r="CE135" s="1"/>
      <c r="CF135" s="1"/>
      <c r="CG135" s="1"/>
      <c r="CH135" s="1"/>
      <c r="CI135" s="1"/>
      <c r="CJ135" s="1"/>
      <c r="CK135" s="1"/>
      <c r="CL135" s="1"/>
      <c r="CM135" s="1"/>
      <c r="CN135" s="1"/>
      <c r="CO135" s="1"/>
      <c r="CP135" s="1"/>
    </row>
    <row r="136" ht="11.25" customHeight="1">
      <c r="A136" s="1"/>
      <c r="B136" s="1"/>
      <c r="C136" s="4" t="s">
        <v>140</v>
      </c>
      <c r="D136" s="5"/>
      <c r="E136" s="5"/>
      <c r="F136" s="5"/>
      <c r="G136" s="6"/>
      <c r="H136" s="26">
        <f>Sum(K136:T136)</f>
        <v>7</v>
      </c>
      <c r="I136" s="5"/>
      <c r="J136" s="6"/>
      <c r="K136" s="9">
        <f>$H$47</f>
        <v>4</v>
      </c>
      <c r="L136" s="5"/>
      <c r="M136" s="6"/>
      <c r="N136" s="9">
        <f>$H$38</f>
        <v>3</v>
      </c>
      <c r="O136" s="5"/>
      <c r="P136" s="6"/>
      <c r="Q136" s="46"/>
      <c r="R136" s="5"/>
      <c r="S136" s="6"/>
      <c r="T136" s="46"/>
      <c r="U136" s="5"/>
      <c r="V136" s="6"/>
      <c r="W136" s="1"/>
      <c r="X136" s="4" t="s">
        <v>141</v>
      </c>
      <c r="Y136" s="5"/>
      <c r="Z136" s="5"/>
      <c r="AA136" s="5"/>
      <c r="AB136" s="6"/>
      <c r="AC136" s="26">
        <f>Sum(AF136:AO136)</f>
        <v>3</v>
      </c>
      <c r="AD136" s="5"/>
      <c r="AE136" s="6"/>
      <c r="AF136" s="9">
        <f>$H$38</f>
        <v>3</v>
      </c>
      <c r="AG136" s="5"/>
      <c r="AH136" s="6"/>
      <c r="AI136" s="9">
        <f>max(0,floor(VLookup("STR",AbilityScores,9,false)/2))</f>
        <v>0</v>
      </c>
      <c r="AJ136" s="5"/>
      <c r="AK136" s="6"/>
      <c r="AL136" s="46"/>
      <c r="AM136" s="5"/>
      <c r="AN136" s="6"/>
      <c r="AO136" s="46"/>
      <c r="AP136" s="5"/>
      <c r="AQ136" s="6"/>
      <c r="AR136" s="1"/>
      <c r="AS136" s="1"/>
      <c r="BE136" s="11"/>
      <c r="BF136" s="12"/>
      <c r="BG136" s="12"/>
      <c r="BH136" s="12"/>
      <c r="BI136" s="12"/>
      <c r="BJ136" s="12"/>
      <c r="BK136" s="12"/>
      <c r="BL136" s="12"/>
      <c r="BM136" s="12"/>
      <c r="BN136" s="12"/>
      <c r="BO136" s="12"/>
      <c r="BP136" s="12"/>
      <c r="BQ136" s="12"/>
      <c r="BR136" s="12"/>
      <c r="BS136" s="12"/>
      <c r="BT136" s="12"/>
      <c r="BU136" s="13"/>
      <c r="BV136" s="1"/>
      <c r="BW136" s="1"/>
      <c r="BX136" s="1"/>
      <c r="BY136" s="1"/>
      <c r="BZ136" s="1"/>
      <c r="CA136" s="1"/>
      <c r="CB136" s="1"/>
      <c r="CC136" s="1"/>
      <c r="CD136" s="1"/>
      <c r="CE136" s="1"/>
      <c r="CF136" s="1"/>
      <c r="CG136" s="1"/>
      <c r="CH136" s="1"/>
      <c r="CI136" s="1"/>
      <c r="CJ136" s="1"/>
      <c r="CK136" s="1"/>
      <c r="CL136" s="1"/>
      <c r="CM136" s="1"/>
      <c r="CN136" s="1"/>
      <c r="CO136" s="1"/>
      <c r="CP136" s="1"/>
    </row>
    <row r="137" ht="11.25" customHeight="1">
      <c r="A137" s="1"/>
      <c r="B137" s="1"/>
      <c r="C137" s="11"/>
      <c r="D137" s="12"/>
      <c r="E137" s="12"/>
      <c r="F137" s="12"/>
      <c r="G137" s="13"/>
      <c r="H137" s="11"/>
      <c r="I137" s="12"/>
      <c r="J137" s="13"/>
      <c r="K137" s="11"/>
      <c r="L137" s="12"/>
      <c r="M137" s="13"/>
      <c r="N137" s="11"/>
      <c r="O137" s="12"/>
      <c r="P137" s="13"/>
      <c r="Q137" s="11"/>
      <c r="R137" s="12"/>
      <c r="S137" s="13"/>
      <c r="T137" s="11"/>
      <c r="U137" s="12"/>
      <c r="V137" s="13"/>
      <c r="W137" s="1"/>
      <c r="X137" s="11"/>
      <c r="Y137" s="12"/>
      <c r="Z137" s="12"/>
      <c r="AA137" s="12"/>
      <c r="AB137" s="13"/>
      <c r="AC137" s="11"/>
      <c r="AD137" s="12"/>
      <c r="AE137" s="13"/>
      <c r="AF137" s="11"/>
      <c r="AG137" s="12"/>
      <c r="AH137" s="13"/>
      <c r="AI137" s="11"/>
      <c r="AJ137" s="12"/>
      <c r="AK137" s="13"/>
      <c r="AL137" s="11"/>
      <c r="AM137" s="12"/>
      <c r="AN137" s="13"/>
      <c r="AO137" s="11"/>
      <c r="AP137" s="12"/>
      <c r="AQ137" s="13"/>
      <c r="AR137" s="1"/>
      <c r="AS137" s="1"/>
      <c r="AT137" s="65"/>
      <c r="AV137" s="8" t="s">
        <v>168</v>
      </c>
      <c r="BE137" s="46"/>
      <c r="BF137" s="5"/>
      <c r="BG137" s="5"/>
      <c r="BH137" s="5"/>
      <c r="BI137" s="5"/>
      <c r="BJ137" s="5"/>
      <c r="BK137" s="5"/>
      <c r="BL137" s="5"/>
      <c r="BM137" s="5"/>
      <c r="BN137" s="5"/>
      <c r="BO137" s="5"/>
      <c r="BP137" s="5"/>
      <c r="BQ137" s="5"/>
      <c r="BR137" s="5"/>
      <c r="BS137" s="5"/>
      <c r="BT137" s="5"/>
      <c r="BU137" s="6"/>
      <c r="BV137" s="1"/>
      <c r="BW137" s="1"/>
      <c r="BX137" s="1"/>
      <c r="BY137" s="1"/>
      <c r="BZ137" s="1"/>
      <c r="CA137" s="1"/>
      <c r="CB137" s="1"/>
      <c r="CC137" s="1"/>
      <c r="CD137" s="1"/>
      <c r="CE137" s="1"/>
      <c r="CF137" s="1"/>
      <c r="CG137" s="1"/>
      <c r="CH137" s="1"/>
      <c r="CI137" s="1"/>
      <c r="CJ137" s="1"/>
      <c r="CK137" s="1"/>
      <c r="CL137" s="1"/>
      <c r="CM137" s="1"/>
      <c r="CN137" s="1"/>
      <c r="CO137" s="1"/>
      <c r="CP137" s="1"/>
    </row>
    <row r="138" ht="11.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BE138" s="11"/>
      <c r="BF138" s="12"/>
      <c r="BG138" s="12"/>
      <c r="BH138" s="12"/>
      <c r="BI138" s="12"/>
      <c r="BJ138" s="12"/>
      <c r="BK138" s="12"/>
      <c r="BL138" s="12"/>
      <c r="BM138" s="12"/>
      <c r="BN138" s="12"/>
      <c r="BO138" s="12"/>
      <c r="BP138" s="12"/>
      <c r="BQ138" s="12"/>
      <c r="BR138" s="12"/>
      <c r="BS138" s="12"/>
      <c r="BT138" s="12"/>
      <c r="BU138" s="13"/>
      <c r="BV138" s="1"/>
      <c r="BW138" s="1"/>
      <c r="BX138" s="1"/>
      <c r="BY138" s="1"/>
      <c r="BZ138" s="1"/>
      <c r="CA138" s="1"/>
      <c r="CB138" s="1"/>
      <c r="CC138" s="1"/>
      <c r="CD138" s="1"/>
      <c r="CE138" s="1"/>
      <c r="CF138" s="1"/>
      <c r="CG138" s="1"/>
      <c r="CH138" s="1"/>
      <c r="CI138" s="1"/>
      <c r="CJ138" s="1"/>
      <c r="CK138" s="1"/>
      <c r="CL138" s="1"/>
      <c r="CM138" s="1"/>
      <c r="CN138" s="1"/>
      <c r="CO138" s="1"/>
      <c r="CP138" s="1"/>
    </row>
    <row r="139" ht="11.25" customHeight="1">
      <c r="A139" s="1"/>
      <c r="B139" s="1"/>
      <c r="C139" s="4" t="s">
        <v>143</v>
      </c>
      <c r="D139" s="5"/>
      <c r="E139" s="5"/>
      <c r="F139" s="5"/>
      <c r="G139" s="5"/>
      <c r="H139" s="6"/>
      <c r="I139" s="46"/>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6"/>
      <c r="AR139" s="1"/>
      <c r="AS139" s="1"/>
      <c r="AT139" s="65"/>
      <c r="AV139" s="8" t="s">
        <v>169</v>
      </c>
      <c r="BE139" s="46"/>
      <c r="BF139" s="5"/>
      <c r="BG139" s="5"/>
      <c r="BH139" s="5"/>
      <c r="BI139" s="5"/>
      <c r="BJ139" s="5"/>
      <c r="BK139" s="5"/>
      <c r="BL139" s="5"/>
      <c r="BM139" s="5"/>
      <c r="BN139" s="5"/>
      <c r="BO139" s="5"/>
      <c r="BP139" s="5"/>
      <c r="BQ139" s="5"/>
      <c r="BR139" s="5"/>
      <c r="BS139" s="5"/>
      <c r="BT139" s="5"/>
      <c r="BU139" s="6"/>
      <c r="BV139" s="1"/>
      <c r="BW139" s="1"/>
      <c r="BX139" s="1"/>
      <c r="BY139" s="1"/>
      <c r="BZ139" s="1"/>
      <c r="CA139" s="1"/>
      <c r="CB139" s="1"/>
      <c r="CC139" s="1"/>
      <c r="CD139" s="1"/>
      <c r="CE139" s="1"/>
      <c r="CF139" s="1"/>
      <c r="CG139" s="1"/>
      <c r="CH139" s="1"/>
      <c r="CI139" s="1"/>
      <c r="CJ139" s="1"/>
      <c r="CK139" s="1"/>
      <c r="CL139" s="1"/>
      <c r="CM139" s="1"/>
      <c r="CN139" s="1"/>
      <c r="CO139" s="1"/>
      <c r="CP139" s="1"/>
    </row>
    <row r="140" ht="11.25" customHeight="1">
      <c r="A140" s="1"/>
      <c r="B140" s="1"/>
      <c r="C140" s="11"/>
      <c r="D140" s="12"/>
      <c r="E140" s="12"/>
      <c r="F140" s="12"/>
      <c r="G140" s="12"/>
      <c r="H140" s="13"/>
      <c r="I140" s="11"/>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3"/>
      <c r="AR140" s="1"/>
      <c r="AS140" s="1"/>
      <c r="BE140" s="11"/>
      <c r="BF140" s="12"/>
      <c r="BG140" s="12"/>
      <c r="BH140" s="12"/>
      <c r="BI140" s="12"/>
      <c r="BJ140" s="12"/>
      <c r="BK140" s="12"/>
      <c r="BL140" s="12"/>
      <c r="BM140" s="12"/>
      <c r="BN140" s="12"/>
      <c r="BO140" s="12"/>
      <c r="BP140" s="12"/>
      <c r="BQ140" s="12"/>
      <c r="BR140" s="12"/>
      <c r="BS140" s="12"/>
      <c r="BT140" s="12"/>
      <c r="BU140" s="13"/>
      <c r="BV140" s="1"/>
      <c r="BW140" s="1"/>
      <c r="BX140" s="1"/>
      <c r="BY140" s="1"/>
      <c r="BZ140" s="1"/>
      <c r="CA140" s="1"/>
      <c r="CB140" s="1"/>
      <c r="CC140" s="1"/>
      <c r="CD140" s="1"/>
      <c r="CE140" s="1"/>
      <c r="CF140" s="1"/>
      <c r="CG140" s="1"/>
      <c r="CH140" s="1"/>
      <c r="CI140" s="1"/>
      <c r="CJ140" s="1"/>
      <c r="CK140" s="1"/>
      <c r="CL140" s="1"/>
      <c r="CM140" s="1"/>
      <c r="CN140" s="1"/>
      <c r="CO140" s="1"/>
      <c r="CP140" s="1"/>
    </row>
    <row r="141" ht="11.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65"/>
      <c r="AV141" s="8" t="s">
        <v>170</v>
      </c>
      <c r="BE141" s="46"/>
      <c r="BF141" s="5"/>
      <c r="BG141" s="5"/>
      <c r="BH141" s="5"/>
      <c r="BI141" s="5"/>
      <c r="BJ141" s="5"/>
      <c r="BK141" s="5"/>
      <c r="BL141" s="5"/>
      <c r="BM141" s="5"/>
      <c r="BN141" s="5"/>
      <c r="BO141" s="5"/>
      <c r="BP141" s="5"/>
      <c r="BQ141" s="5"/>
      <c r="BR141" s="5"/>
      <c r="BS141" s="5"/>
      <c r="BT141" s="5"/>
      <c r="BU141" s="6"/>
      <c r="BV141" s="1"/>
      <c r="BW141" s="1"/>
      <c r="BX141" s="1"/>
      <c r="BY141" s="1"/>
      <c r="BZ141" s="1"/>
      <c r="CA141" s="1"/>
      <c r="CB141" s="1"/>
      <c r="CC141" s="1"/>
      <c r="CD141" s="1"/>
      <c r="CE141" s="1"/>
      <c r="CF141" s="1"/>
      <c r="CG141" s="1"/>
      <c r="CH141" s="1"/>
      <c r="CI141" s="1"/>
      <c r="CJ141" s="1"/>
      <c r="CK141" s="1"/>
      <c r="CL141" s="1"/>
      <c r="CM141" s="1"/>
      <c r="CN141" s="1"/>
      <c r="CO141" s="1"/>
      <c r="CP141" s="1"/>
    </row>
    <row r="142" ht="11.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BE142" s="11"/>
      <c r="BF142" s="12"/>
      <c r="BG142" s="12"/>
      <c r="BH142" s="12"/>
      <c r="BI142" s="12"/>
      <c r="BJ142" s="12"/>
      <c r="BK142" s="12"/>
      <c r="BL142" s="12"/>
      <c r="BM142" s="12"/>
      <c r="BN142" s="12"/>
      <c r="BO142" s="12"/>
      <c r="BP142" s="12"/>
      <c r="BQ142" s="12"/>
      <c r="BR142" s="12"/>
      <c r="BS142" s="12"/>
      <c r="BT142" s="12"/>
      <c r="BU142" s="13"/>
      <c r="BV142" s="1"/>
      <c r="BW142" s="1"/>
      <c r="BX142" s="1"/>
      <c r="BY142" s="1"/>
      <c r="BZ142" s="1"/>
      <c r="CA142" s="1"/>
      <c r="CB142" s="1"/>
      <c r="CC142" s="1"/>
      <c r="CD142" s="1"/>
      <c r="CE142" s="1"/>
      <c r="CF142" s="1"/>
      <c r="CG142" s="1"/>
      <c r="CH142" s="1"/>
      <c r="CI142" s="1"/>
      <c r="CJ142" s="1"/>
      <c r="CK142" s="1"/>
      <c r="CL142" s="1"/>
      <c r="CM142" s="1"/>
      <c r="CN142" s="1"/>
      <c r="CO142" s="1"/>
      <c r="CP142" s="1"/>
    </row>
    <row r="143" ht="11.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row>
    <row r="144" ht="11.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row>
    <row r="145" ht="11.25" customHeight="1">
      <c r="A145" s="1"/>
      <c r="B145" s="1"/>
      <c r="C145" s="8" t="s">
        <v>171</v>
      </c>
      <c r="BV145" s="1"/>
      <c r="BW145" s="1"/>
      <c r="BX145" s="1"/>
      <c r="BY145" s="1"/>
      <c r="BZ145" s="1"/>
      <c r="CA145" s="1"/>
      <c r="CB145" s="1"/>
      <c r="CC145" s="1"/>
      <c r="CD145" s="1"/>
      <c r="CE145" s="1"/>
      <c r="CF145" s="1"/>
      <c r="CG145" s="1"/>
      <c r="CH145" s="1"/>
      <c r="CI145" s="1"/>
      <c r="CJ145" s="1"/>
      <c r="CK145" s="1"/>
      <c r="CL145" s="1"/>
      <c r="CM145" s="1"/>
      <c r="CN145" s="1"/>
      <c r="CO145" s="1"/>
      <c r="CP145" s="1"/>
    </row>
    <row r="146" ht="11.25" customHeight="1">
      <c r="A146" s="1"/>
      <c r="B146" s="1"/>
      <c r="BV146" s="1"/>
      <c r="BW146" s="1"/>
      <c r="BX146" s="1"/>
      <c r="BY146" s="1"/>
      <c r="BZ146" s="1"/>
      <c r="CA146" s="1"/>
      <c r="CB146" s="1"/>
      <c r="CC146" s="1"/>
      <c r="CD146" s="1"/>
      <c r="CE146" s="1"/>
      <c r="CF146" s="1"/>
      <c r="CG146" s="1"/>
      <c r="CH146" s="1"/>
      <c r="CI146" s="1"/>
      <c r="CJ146" s="1"/>
      <c r="CK146" s="1"/>
      <c r="CL146" s="1"/>
      <c r="CM146" s="1"/>
      <c r="CN146" s="1"/>
      <c r="CO146" s="1"/>
      <c r="CP146" s="1"/>
    </row>
    <row r="147" ht="11.25" customHeight="1">
      <c r="A147" s="1"/>
      <c r="B147" s="1"/>
      <c r="C147" s="1"/>
      <c r="D147" s="1"/>
      <c r="E147" s="1"/>
      <c r="F147" s="1"/>
      <c r="G147" s="1"/>
      <c r="H147" s="1"/>
      <c r="I147" s="1"/>
      <c r="J147" s="1"/>
      <c r="K147" s="1"/>
      <c r="L147" s="1"/>
      <c r="M147" s="1"/>
      <c r="N147" s="1"/>
      <c r="O147" s="1"/>
      <c r="P147" s="1"/>
      <c r="Q147" s="20" t="s">
        <v>172</v>
      </c>
      <c r="T147" s="1"/>
      <c r="U147" s="1"/>
      <c r="V147" s="1"/>
      <c r="W147" s="1"/>
      <c r="X147" s="1"/>
      <c r="Y147" s="1"/>
      <c r="Z147" s="1"/>
      <c r="AA147" s="1"/>
      <c r="AB147" s="1"/>
      <c r="AC147" s="1"/>
      <c r="AD147" s="1"/>
      <c r="AE147" s="1"/>
      <c r="AF147" s="1"/>
      <c r="AG147" s="1"/>
      <c r="AH147" s="1"/>
      <c r="AI147" s="20" t="s">
        <v>172</v>
      </c>
      <c r="AL147" s="1"/>
      <c r="AM147" s="1"/>
      <c r="AN147" s="1"/>
      <c r="AO147" s="1"/>
      <c r="AP147" s="1"/>
      <c r="AQ147" s="1"/>
      <c r="AR147" s="1"/>
      <c r="AS147" s="1"/>
      <c r="AT147" s="1"/>
      <c r="AU147" s="1"/>
      <c r="AV147" s="1"/>
      <c r="AW147" s="1"/>
      <c r="AX147" s="1"/>
      <c r="AY147" s="1"/>
      <c r="AZ147" s="1"/>
      <c r="BA147" s="20" t="s">
        <v>172</v>
      </c>
      <c r="BD147" s="1"/>
      <c r="BE147" s="1"/>
      <c r="BF147" s="1"/>
      <c r="BG147" s="1"/>
      <c r="BH147" s="1"/>
      <c r="BI147" s="1"/>
      <c r="BJ147" s="1"/>
      <c r="BK147" s="1"/>
      <c r="BL147" s="1"/>
      <c r="BM147" s="1"/>
      <c r="BN147" s="1"/>
      <c r="BO147" s="1"/>
      <c r="BP147" s="1"/>
      <c r="BQ147" s="1"/>
      <c r="BR147" s="1"/>
      <c r="BS147" s="20" t="s">
        <v>172</v>
      </c>
      <c r="BV147" s="1"/>
      <c r="BW147" s="1"/>
      <c r="BX147" s="1"/>
      <c r="BY147" s="1"/>
      <c r="BZ147" s="1"/>
      <c r="CA147" s="1"/>
      <c r="CB147" s="1"/>
      <c r="CC147" s="1"/>
      <c r="CD147" s="1"/>
      <c r="CE147" s="1"/>
      <c r="CF147" s="1"/>
      <c r="CG147" s="1"/>
      <c r="CH147" s="1"/>
      <c r="CI147" s="1"/>
      <c r="CJ147" s="1"/>
      <c r="CK147" s="1"/>
      <c r="CL147" s="1"/>
      <c r="CM147" s="1"/>
      <c r="CN147" s="1"/>
      <c r="CO147" s="1"/>
      <c r="CP147" s="1"/>
    </row>
    <row r="148" ht="11.25" customHeight="1">
      <c r="A148" s="1"/>
      <c r="B148" s="1"/>
      <c r="C148" s="4" t="s">
        <v>173</v>
      </c>
      <c r="D148" s="5"/>
      <c r="E148" s="5"/>
      <c r="F148" s="5"/>
      <c r="G148" s="5"/>
      <c r="H148" s="5"/>
      <c r="I148" s="5"/>
      <c r="J148" s="5"/>
      <c r="K148" s="5"/>
      <c r="L148" s="5"/>
      <c r="M148" s="5"/>
      <c r="N148" s="5"/>
      <c r="O148" s="5"/>
      <c r="P148" s="5"/>
      <c r="Q148" s="67">
        <f>$AY$3</f>
        <v>2</v>
      </c>
      <c r="R148" s="5"/>
      <c r="S148" s="6"/>
      <c r="T148" s="28"/>
      <c r="U148" s="4" t="s">
        <v>174</v>
      </c>
      <c r="V148" s="5"/>
      <c r="W148" s="5"/>
      <c r="X148" s="5"/>
      <c r="Y148" s="5"/>
      <c r="Z148" s="5"/>
      <c r="AA148" s="5"/>
      <c r="AB148" s="5"/>
      <c r="AC148" s="5"/>
      <c r="AD148" s="5"/>
      <c r="AE148" s="5"/>
      <c r="AF148" s="5"/>
      <c r="AG148" s="5"/>
      <c r="AH148" s="5"/>
      <c r="AI148" s="67">
        <f>$AY$5</f>
        <v>2</v>
      </c>
      <c r="AJ148" s="5"/>
      <c r="AK148" s="6"/>
      <c r="AL148" s="28"/>
      <c r="AM148" s="4" t="s">
        <v>175</v>
      </c>
      <c r="AN148" s="5"/>
      <c r="AO148" s="5"/>
      <c r="AP148" s="5"/>
      <c r="AQ148" s="5"/>
      <c r="AR148" s="5"/>
      <c r="AS148" s="5"/>
      <c r="AT148" s="5"/>
      <c r="AU148" s="5"/>
      <c r="AV148" s="5"/>
      <c r="AW148" s="5"/>
      <c r="AX148" s="5"/>
      <c r="AY148" s="5"/>
      <c r="AZ148" s="5"/>
      <c r="BA148" s="67">
        <f>$AY$7</f>
        <v>1</v>
      </c>
      <c r="BB148" s="5"/>
      <c r="BC148" s="6"/>
      <c r="BD148" s="28"/>
      <c r="BE148" s="4" t="s">
        <v>176</v>
      </c>
      <c r="BF148" s="5"/>
      <c r="BG148" s="5"/>
      <c r="BH148" s="5"/>
      <c r="BI148" s="5"/>
      <c r="BJ148" s="5"/>
      <c r="BK148" s="5"/>
      <c r="BL148" s="5"/>
      <c r="BM148" s="5"/>
      <c r="BN148" s="5"/>
      <c r="BO148" s="5"/>
      <c r="BP148" s="5"/>
      <c r="BQ148" s="5"/>
      <c r="BR148" s="5"/>
      <c r="BS148" s="67">
        <f>$AY$9</f>
        <v>2</v>
      </c>
      <c r="BT148" s="5"/>
      <c r="BU148" s="6"/>
      <c r="BV148" s="1"/>
      <c r="BW148" s="1"/>
      <c r="BX148" s="1"/>
      <c r="BY148" s="1"/>
      <c r="BZ148" s="1"/>
      <c r="CA148" s="1"/>
      <c r="CB148" s="1"/>
      <c r="CC148" s="1"/>
      <c r="CD148" s="1"/>
      <c r="CE148" s="1"/>
      <c r="CF148" s="1"/>
      <c r="CG148" s="1"/>
      <c r="CH148" s="1"/>
      <c r="CI148" s="1"/>
      <c r="CJ148" s="1"/>
      <c r="CK148" s="1"/>
      <c r="CL148" s="1"/>
      <c r="CM148" s="1"/>
      <c r="CN148" s="1"/>
      <c r="CO148" s="1"/>
      <c r="CP148" s="1"/>
    </row>
    <row r="149" ht="11.25" customHeight="1">
      <c r="A149" s="1"/>
      <c r="B149" s="1"/>
      <c r="C149" s="59"/>
      <c r="Q149" s="11"/>
      <c r="R149" s="12"/>
      <c r="S149" s="13"/>
      <c r="T149" s="28"/>
      <c r="U149" s="59"/>
      <c r="AI149" s="11"/>
      <c r="AJ149" s="12"/>
      <c r="AK149" s="13"/>
      <c r="AL149" s="28"/>
      <c r="AM149" s="59"/>
      <c r="BA149" s="11"/>
      <c r="BB149" s="12"/>
      <c r="BC149" s="13"/>
      <c r="BD149" s="28"/>
      <c r="BE149" s="59"/>
      <c r="BS149" s="11"/>
      <c r="BT149" s="12"/>
      <c r="BU149" s="13"/>
      <c r="BV149" s="1"/>
      <c r="BW149" s="1"/>
      <c r="BX149" s="1"/>
      <c r="BY149" s="1"/>
      <c r="BZ149" s="1"/>
      <c r="CA149" s="1"/>
      <c r="CB149" s="1"/>
      <c r="CC149" s="1"/>
      <c r="CD149" s="1"/>
      <c r="CE149" s="1"/>
      <c r="CF149" s="1"/>
      <c r="CG149" s="1"/>
      <c r="CH149" s="1"/>
      <c r="CI149" s="1"/>
      <c r="CJ149" s="1"/>
      <c r="CK149" s="1"/>
      <c r="CL149" s="1"/>
      <c r="CM149" s="1"/>
      <c r="CN149" s="1"/>
      <c r="CO149" s="1"/>
      <c r="CP149" s="1"/>
    </row>
    <row r="150" ht="11.25" customHeight="1">
      <c r="A150" s="1"/>
      <c r="B150" s="1"/>
      <c r="C150" s="9" t="str">
        <f>AJ3</f>
        <v>Path of the Ancestors</v>
      </c>
      <c r="D150" s="5"/>
      <c r="E150" s="5"/>
      <c r="F150" s="5"/>
      <c r="G150" s="5"/>
      <c r="H150" s="5"/>
      <c r="I150" s="5"/>
      <c r="J150" s="5"/>
      <c r="K150" s="5"/>
      <c r="L150" s="5"/>
      <c r="M150" s="5"/>
      <c r="N150" s="5"/>
      <c r="O150" s="5"/>
      <c r="P150" s="5"/>
      <c r="Q150" s="5"/>
      <c r="R150" s="5"/>
      <c r="S150" s="6"/>
      <c r="T150" s="19"/>
      <c r="U150" s="9" t="str">
        <f>AJ5</f>
        <v>Wildborn</v>
      </c>
      <c r="V150" s="5"/>
      <c r="W150" s="5"/>
      <c r="X150" s="5"/>
      <c r="Y150" s="5"/>
      <c r="Z150" s="5"/>
      <c r="AA150" s="5"/>
      <c r="AB150" s="5"/>
      <c r="AC150" s="5"/>
      <c r="AD150" s="5"/>
      <c r="AE150" s="5"/>
      <c r="AF150" s="5"/>
      <c r="AG150" s="5"/>
      <c r="AH150" s="5"/>
      <c r="AI150" s="5"/>
      <c r="AJ150" s="5"/>
      <c r="AK150" s="6"/>
      <c r="AL150" s="19"/>
      <c r="AM150" s="9" t="str">
        <f>AJ7</f>
        <v>Discipline of the Dragon</v>
      </c>
      <c r="AN150" s="5"/>
      <c r="AO150" s="5"/>
      <c r="AP150" s="5"/>
      <c r="AQ150" s="5"/>
      <c r="AR150" s="5"/>
      <c r="AS150" s="5"/>
      <c r="AT150" s="5"/>
      <c r="AU150" s="5"/>
      <c r="AV150" s="5"/>
      <c r="AW150" s="5"/>
      <c r="AX150" s="5"/>
      <c r="AY150" s="5"/>
      <c r="AZ150" s="5"/>
      <c r="BA150" s="5"/>
      <c r="BB150" s="5"/>
      <c r="BC150" s="6"/>
      <c r="BD150" s="19"/>
      <c r="BE150" s="9" t="str">
        <f>AJ9</f>
        <v>Runesong Scholar</v>
      </c>
      <c r="BF150" s="5"/>
      <c r="BG150" s="5"/>
      <c r="BH150" s="5"/>
      <c r="BI150" s="5"/>
      <c r="BJ150" s="5"/>
      <c r="BK150" s="5"/>
      <c r="BL150" s="5"/>
      <c r="BM150" s="5"/>
      <c r="BN150" s="5"/>
      <c r="BO150" s="5"/>
      <c r="BP150" s="5"/>
      <c r="BQ150" s="5"/>
      <c r="BR150" s="5"/>
      <c r="BS150" s="5"/>
      <c r="BT150" s="5"/>
      <c r="BU150" s="6"/>
      <c r="BV150" s="1"/>
      <c r="BW150" s="1"/>
      <c r="BX150" s="1"/>
      <c r="BY150" s="1"/>
      <c r="BZ150" s="1"/>
      <c r="CA150" s="1"/>
      <c r="CB150" s="1"/>
      <c r="CC150" s="1"/>
      <c r="CD150" s="1"/>
      <c r="CE150" s="1"/>
      <c r="CF150" s="1"/>
      <c r="CG150" s="1"/>
      <c r="CH150" s="1"/>
      <c r="CI150" s="1"/>
      <c r="CJ150" s="1"/>
      <c r="CK150" s="1"/>
      <c r="CL150" s="1"/>
      <c r="CM150" s="1"/>
      <c r="CN150" s="1"/>
      <c r="CO150" s="1"/>
      <c r="CP150" s="1"/>
    </row>
    <row r="151" ht="11.25" customHeight="1">
      <c r="A151" s="1"/>
      <c r="B151" s="1"/>
      <c r="C151" s="11"/>
      <c r="D151" s="12"/>
      <c r="E151" s="12"/>
      <c r="F151" s="12"/>
      <c r="G151" s="12"/>
      <c r="H151" s="12"/>
      <c r="I151" s="12"/>
      <c r="J151" s="12"/>
      <c r="K151" s="12"/>
      <c r="L151" s="12"/>
      <c r="M151" s="12"/>
      <c r="N151" s="12"/>
      <c r="O151" s="12"/>
      <c r="P151" s="12"/>
      <c r="Q151" s="12"/>
      <c r="R151" s="12"/>
      <c r="S151" s="13"/>
      <c r="T151" s="19"/>
      <c r="U151" s="11"/>
      <c r="V151" s="12"/>
      <c r="W151" s="12"/>
      <c r="X151" s="12"/>
      <c r="Y151" s="12"/>
      <c r="Z151" s="12"/>
      <c r="AA151" s="12"/>
      <c r="AB151" s="12"/>
      <c r="AC151" s="12"/>
      <c r="AD151" s="12"/>
      <c r="AE151" s="12"/>
      <c r="AF151" s="12"/>
      <c r="AG151" s="12"/>
      <c r="AH151" s="12"/>
      <c r="AI151" s="12"/>
      <c r="AJ151" s="12"/>
      <c r="AK151" s="13"/>
      <c r="AL151" s="19"/>
      <c r="AM151" s="11"/>
      <c r="AN151" s="12"/>
      <c r="AO151" s="12"/>
      <c r="AP151" s="12"/>
      <c r="AQ151" s="12"/>
      <c r="AR151" s="12"/>
      <c r="AS151" s="12"/>
      <c r="AT151" s="12"/>
      <c r="AU151" s="12"/>
      <c r="AV151" s="12"/>
      <c r="AW151" s="12"/>
      <c r="AX151" s="12"/>
      <c r="AY151" s="12"/>
      <c r="AZ151" s="12"/>
      <c r="BA151" s="12"/>
      <c r="BB151" s="12"/>
      <c r="BC151" s="13"/>
      <c r="BD151" s="19"/>
      <c r="BE151" s="11"/>
      <c r="BF151" s="12"/>
      <c r="BG151" s="12"/>
      <c r="BH151" s="12"/>
      <c r="BI151" s="12"/>
      <c r="BJ151" s="12"/>
      <c r="BK151" s="12"/>
      <c r="BL151" s="12"/>
      <c r="BM151" s="12"/>
      <c r="BN151" s="12"/>
      <c r="BO151" s="12"/>
      <c r="BP151" s="12"/>
      <c r="BQ151" s="12"/>
      <c r="BR151" s="12"/>
      <c r="BS151" s="12"/>
      <c r="BT151" s="12"/>
      <c r="BU151" s="13"/>
      <c r="BV151" s="1"/>
      <c r="BW151" s="1"/>
      <c r="BX151" s="1"/>
      <c r="BY151" s="1"/>
      <c r="BZ151" s="1"/>
      <c r="CA151" s="1"/>
      <c r="CB151" s="1"/>
      <c r="CC151" s="1"/>
      <c r="CD151" s="1"/>
      <c r="CE151" s="1"/>
      <c r="CF151" s="1"/>
      <c r="CG151" s="1"/>
      <c r="CH151" s="1"/>
      <c r="CI151" s="1"/>
      <c r="CJ151" s="1"/>
      <c r="CK151" s="1"/>
      <c r="CL151" s="1"/>
      <c r="CM151" s="1"/>
      <c r="CN151" s="1"/>
      <c r="CO151" s="1"/>
      <c r="CP151" s="1"/>
    </row>
    <row r="152" ht="11.25" customHeight="1">
      <c r="A152" s="1"/>
      <c r="B152" s="1"/>
      <c r="C152" s="17"/>
      <c r="D152" s="17"/>
      <c r="E152" s="17"/>
      <c r="F152" s="17"/>
      <c r="G152" s="20" t="s">
        <v>35</v>
      </c>
      <c r="J152" s="20" t="s">
        <v>73</v>
      </c>
      <c r="M152" s="20" t="s">
        <v>30</v>
      </c>
      <c r="P152" s="20" t="s">
        <v>73</v>
      </c>
      <c r="T152" s="1"/>
      <c r="U152" s="17"/>
      <c r="V152" s="17"/>
      <c r="W152" s="17"/>
      <c r="X152" s="17"/>
      <c r="Y152" s="20" t="s">
        <v>35</v>
      </c>
      <c r="AB152" s="20" t="s">
        <v>73</v>
      </c>
      <c r="AE152" s="20" t="s">
        <v>30</v>
      </c>
      <c r="AH152" s="20" t="s">
        <v>73</v>
      </c>
      <c r="AL152" s="1"/>
      <c r="AM152" s="17"/>
      <c r="AN152" s="17"/>
      <c r="AO152" s="17"/>
      <c r="AP152" s="17"/>
      <c r="AQ152" s="20" t="s">
        <v>35</v>
      </c>
      <c r="AT152" s="20" t="s">
        <v>73</v>
      </c>
      <c r="AW152" s="20" t="s">
        <v>30</v>
      </c>
      <c r="AZ152" s="20" t="s">
        <v>73</v>
      </c>
      <c r="BD152" s="1"/>
      <c r="BE152" s="17"/>
      <c r="BF152" s="17"/>
      <c r="BG152" s="17"/>
      <c r="BH152" s="17"/>
      <c r="BI152" s="20" t="s">
        <v>35</v>
      </c>
      <c r="BL152" s="20" t="s">
        <v>73</v>
      </c>
      <c r="BO152" s="20" t="s">
        <v>30</v>
      </c>
      <c r="BR152" s="20" t="s">
        <v>73</v>
      </c>
      <c r="BV152" s="1"/>
      <c r="BW152" s="1"/>
      <c r="BX152" s="1"/>
      <c r="BY152" s="1"/>
      <c r="BZ152" s="1"/>
      <c r="CA152" s="1"/>
      <c r="CB152" s="1"/>
      <c r="CC152" s="1"/>
      <c r="CD152" s="1"/>
      <c r="CE152" s="1"/>
      <c r="CF152" s="1"/>
      <c r="CG152" s="1"/>
      <c r="CH152" s="1"/>
      <c r="CI152" s="1"/>
      <c r="CJ152" s="1"/>
      <c r="CK152" s="1"/>
      <c r="CL152" s="1"/>
      <c r="CM152" s="1"/>
      <c r="CN152" s="1"/>
      <c r="CO152" s="1"/>
      <c r="CP152" s="1"/>
    </row>
    <row r="153" ht="11.25" customHeight="1">
      <c r="A153" s="1"/>
      <c r="B153" s="1"/>
      <c r="C153" s="4" t="s">
        <v>177</v>
      </c>
      <c r="D153" s="5"/>
      <c r="E153" s="5"/>
      <c r="F153" s="6"/>
      <c r="G153" s="68">
        <f>10+floor($AC$9/2)+J153+M153</f>
        <v>12</v>
      </c>
      <c r="H153" s="5"/>
      <c r="I153" s="6"/>
      <c r="J153" s="67">
        <f>SWITCH(P153,"N/A",0,"KOM",$H$38,"KDM",$W$38,VLOOKUP(P153,AbilityScores,9,false))</f>
        <v>0</v>
      </c>
      <c r="K153" s="5"/>
      <c r="L153" s="6"/>
      <c r="M153" s="69"/>
      <c r="N153" s="5"/>
      <c r="O153" s="6"/>
      <c r="P153" s="45" t="s">
        <v>178</v>
      </c>
      <c r="Q153" s="5"/>
      <c r="R153" s="5"/>
      <c r="S153" s="6"/>
      <c r="T153" s="1"/>
      <c r="U153" s="4" t="s">
        <v>177</v>
      </c>
      <c r="V153" s="5"/>
      <c r="W153" s="5"/>
      <c r="X153" s="6"/>
      <c r="Y153" s="68">
        <f>10+floor($AC$9/2)+AB153+AE153</f>
        <v>12</v>
      </c>
      <c r="Z153" s="5"/>
      <c r="AA153" s="6"/>
      <c r="AB153" s="67">
        <f>SWITCH(AH153,"N/A",0,"KOM",$H$38,"KDM",$W$38,VLOOKUP(AH153,AbilityScores,9,false))</f>
        <v>0</v>
      </c>
      <c r="AC153" s="5"/>
      <c r="AD153" s="6"/>
      <c r="AE153" s="69"/>
      <c r="AF153" s="5"/>
      <c r="AG153" s="6"/>
      <c r="AH153" s="45" t="s">
        <v>178</v>
      </c>
      <c r="AI153" s="5"/>
      <c r="AJ153" s="5"/>
      <c r="AK153" s="6"/>
      <c r="AL153" s="1"/>
      <c r="AM153" s="4" t="s">
        <v>177</v>
      </c>
      <c r="AN153" s="5"/>
      <c r="AO153" s="5"/>
      <c r="AP153" s="6"/>
      <c r="AQ153" s="68">
        <f>10+floor($AC$9/2)+AT153+AW153</f>
        <v>12</v>
      </c>
      <c r="AR153" s="5"/>
      <c r="AS153" s="6"/>
      <c r="AT153" s="67">
        <f>SWITCH(AZ153,"N/A",0,"KOM",$H$38,"KDM",$W$38,VLOOKUP(AZ153,AbilityScores,9,false))</f>
        <v>0</v>
      </c>
      <c r="AU153" s="5"/>
      <c r="AV153" s="6"/>
      <c r="AW153" s="69"/>
      <c r="AX153" s="5"/>
      <c r="AY153" s="6"/>
      <c r="AZ153" s="45" t="s">
        <v>178</v>
      </c>
      <c r="BA153" s="5"/>
      <c r="BB153" s="5"/>
      <c r="BC153" s="6"/>
      <c r="BD153" s="1"/>
      <c r="BE153" s="4" t="s">
        <v>177</v>
      </c>
      <c r="BF153" s="5"/>
      <c r="BG153" s="5"/>
      <c r="BH153" s="6"/>
      <c r="BI153" s="68">
        <f>10+floor($AC$9/2)+BL153+BO153</f>
        <v>16</v>
      </c>
      <c r="BJ153" s="5"/>
      <c r="BK153" s="6"/>
      <c r="BL153" s="67">
        <f>SWITCH(BR153,"N/A",0,"KOM",$H$38,"KDM",$W$38,VLOOKUP(BR153,AbilityScores,9,false))</f>
        <v>4</v>
      </c>
      <c r="BM153" s="5"/>
      <c r="BN153" s="6"/>
      <c r="BO153" s="69"/>
      <c r="BP153" s="5"/>
      <c r="BQ153" s="6"/>
      <c r="BR153" s="45" t="s">
        <v>63</v>
      </c>
      <c r="BS153" s="5"/>
      <c r="BT153" s="5"/>
      <c r="BU153" s="6"/>
      <c r="BV153" s="1"/>
      <c r="BW153" s="1"/>
      <c r="BX153" s="1"/>
      <c r="BY153" s="1"/>
      <c r="BZ153" s="1"/>
      <c r="CA153" s="1"/>
      <c r="CB153" s="1"/>
      <c r="CC153" s="1"/>
      <c r="CD153" s="1"/>
      <c r="CE153" s="1"/>
      <c r="CF153" s="1"/>
      <c r="CG153" s="1"/>
      <c r="CH153" s="1"/>
      <c r="CI153" s="1"/>
      <c r="CJ153" s="1"/>
      <c r="CK153" s="1"/>
      <c r="CL153" s="1"/>
      <c r="CM153" s="1"/>
      <c r="CN153" s="1"/>
      <c r="CO153" s="1"/>
      <c r="CP153" s="1"/>
    </row>
    <row r="154" ht="11.25" customHeight="1">
      <c r="A154" s="1"/>
      <c r="B154" s="1"/>
      <c r="C154" s="11"/>
      <c r="D154" s="12"/>
      <c r="E154" s="12"/>
      <c r="F154" s="13"/>
      <c r="G154" s="11"/>
      <c r="H154" s="12"/>
      <c r="I154" s="13"/>
      <c r="J154" s="11"/>
      <c r="K154" s="12"/>
      <c r="L154" s="13"/>
      <c r="M154" s="11"/>
      <c r="N154" s="12"/>
      <c r="O154" s="13"/>
      <c r="P154" s="11"/>
      <c r="Q154" s="12"/>
      <c r="R154" s="12"/>
      <c r="S154" s="13"/>
      <c r="T154" s="1"/>
      <c r="U154" s="11"/>
      <c r="V154" s="12"/>
      <c r="W154" s="12"/>
      <c r="X154" s="13"/>
      <c r="Y154" s="11"/>
      <c r="Z154" s="12"/>
      <c r="AA154" s="13"/>
      <c r="AB154" s="11"/>
      <c r="AC154" s="12"/>
      <c r="AD154" s="13"/>
      <c r="AE154" s="11"/>
      <c r="AF154" s="12"/>
      <c r="AG154" s="13"/>
      <c r="AH154" s="11"/>
      <c r="AI154" s="12"/>
      <c r="AJ154" s="12"/>
      <c r="AK154" s="13"/>
      <c r="AL154" s="1"/>
      <c r="AM154" s="11"/>
      <c r="AN154" s="12"/>
      <c r="AO154" s="12"/>
      <c r="AP154" s="13"/>
      <c r="AQ154" s="11"/>
      <c r="AR154" s="12"/>
      <c r="AS154" s="13"/>
      <c r="AT154" s="11"/>
      <c r="AU154" s="12"/>
      <c r="AV154" s="13"/>
      <c r="AW154" s="11"/>
      <c r="AX154" s="12"/>
      <c r="AY154" s="13"/>
      <c r="AZ154" s="11"/>
      <c r="BA154" s="12"/>
      <c r="BB154" s="12"/>
      <c r="BC154" s="13"/>
      <c r="BD154" s="1"/>
      <c r="BE154" s="11"/>
      <c r="BF154" s="12"/>
      <c r="BG154" s="12"/>
      <c r="BH154" s="13"/>
      <c r="BI154" s="11"/>
      <c r="BJ154" s="12"/>
      <c r="BK154" s="13"/>
      <c r="BL154" s="11"/>
      <c r="BM154" s="12"/>
      <c r="BN154" s="13"/>
      <c r="BO154" s="11"/>
      <c r="BP154" s="12"/>
      <c r="BQ154" s="13"/>
      <c r="BR154" s="11"/>
      <c r="BS154" s="12"/>
      <c r="BT154" s="12"/>
      <c r="BU154" s="13"/>
      <c r="BV154" s="1"/>
      <c r="BW154" s="1"/>
      <c r="BX154" s="1"/>
      <c r="BY154" s="1"/>
      <c r="BZ154" s="1"/>
      <c r="CA154" s="1"/>
      <c r="CB154" s="1"/>
      <c r="CC154" s="1"/>
      <c r="CD154" s="1"/>
      <c r="CE154" s="1"/>
      <c r="CF154" s="1"/>
      <c r="CG154" s="1"/>
      <c r="CH154" s="1"/>
      <c r="CI154" s="1"/>
      <c r="CJ154" s="1"/>
      <c r="CK154" s="1"/>
      <c r="CL154" s="1"/>
      <c r="CM154" s="1"/>
      <c r="CN154" s="1"/>
      <c r="CO154" s="1"/>
      <c r="CP154" s="1"/>
    </row>
    <row r="155" ht="11.25" customHeight="1">
      <c r="A155" s="1"/>
      <c r="B155" s="1"/>
      <c r="C155" s="1"/>
      <c r="D155" s="1"/>
      <c r="E155" s="1"/>
      <c r="F155" s="1"/>
      <c r="G155" s="1"/>
      <c r="H155" s="1"/>
      <c r="I155" s="1"/>
      <c r="J155" s="1"/>
      <c r="K155" s="1"/>
      <c r="L155" s="1"/>
      <c r="M155" s="1"/>
      <c r="N155" s="1"/>
      <c r="O155" s="1"/>
      <c r="P155" s="1"/>
      <c r="Q155" s="1"/>
      <c r="R155" s="20" t="s">
        <v>48</v>
      </c>
      <c r="T155" s="1"/>
      <c r="U155" s="1"/>
      <c r="V155" s="1"/>
      <c r="W155" s="1"/>
      <c r="X155" s="1"/>
      <c r="Y155" s="1"/>
      <c r="Z155" s="1"/>
      <c r="AA155" s="1"/>
      <c r="AB155" s="1"/>
      <c r="AC155" s="1"/>
      <c r="AD155" s="1"/>
      <c r="AE155" s="1"/>
      <c r="AF155" s="1"/>
      <c r="AG155" s="1"/>
      <c r="AH155" s="1"/>
      <c r="AI155" s="1"/>
      <c r="AJ155" s="20" t="s">
        <v>48</v>
      </c>
      <c r="AL155" s="1"/>
      <c r="AM155" s="1"/>
      <c r="AN155" s="1"/>
      <c r="AO155" s="1"/>
      <c r="AP155" s="1"/>
      <c r="AQ155" s="1"/>
      <c r="AR155" s="1"/>
      <c r="AS155" s="1"/>
      <c r="AT155" s="1"/>
      <c r="AU155" s="1"/>
      <c r="AV155" s="1"/>
      <c r="AW155" s="1"/>
      <c r="AX155" s="1"/>
      <c r="AY155" s="1"/>
      <c r="AZ155" s="1"/>
      <c r="BA155" s="1"/>
      <c r="BB155" s="20" t="s">
        <v>48</v>
      </c>
      <c r="BD155" s="1"/>
      <c r="BE155" s="1"/>
      <c r="BF155" s="1"/>
      <c r="BG155" s="1"/>
      <c r="BH155" s="1"/>
      <c r="BI155" s="1"/>
      <c r="BJ155" s="1"/>
      <c r="BK155" s="1"/>
      <c r="BL155" s="1"/>
      <c r="BM155" s="1"/>
      <c r="BN155" s="1"/>
      <c r="BO155" s="1"/>
      <c r="BP155" s="1"/>
      <c r="BQ155" s="1"/>
      <c r="BR155" s="1"/>
      <c r="BS155" s="1"/>
      <c r="BT155" s="20" t="s">
        <v>48</v>
      </c>
      <c r="BV155" s="1"/>
      <c r="BW155" s="1"/>
      <c r="BX155" s="1"/>
      <c r="BY155" s="1"/>
      <c r="BZ155" s="1"/>
      <c r="CA155" s="1"/>
      <c r="CB155" s="1"/>
      <c r="CC155" s="1"/>
      <c r="CD155" s="1"/>
      <c r="CE155" s="1"/>
      <c r="CF155" s="1"/>
      <c r="CG155" s="1"/>
      <c r="CH155" s="1"/>
      <c r="CI155" s="1"/>
      <c r="CJ155" s="1"/>
      <c r="CK155" s="1"/>
      <c r="CL155" s="1"/>
      <c r="CM155" s="1"/>
      <c r="CN155" s="1"/>
      <c r="CO155" s="1"/>
      <c r="CP155" s="1"/>
    </row>
    <row r="156" ht="11.25" customHeight="1">
      <c r="A156" s="1"/>
      <c r="B156" s="1"/>
      <c r="C156" s="4" t="s">
        <v>179</v>
      </c>
      <c r="D156" s="5"/>
      <c r="E156" s="5"/>
      <c r="F156" s="5"/>
      <c r="G156" s="5"/>
      <c r="H156" s="5"/>
      <c r="I156" s="5"/>
      <c r="J156" s="5"/>
      <c r="K156" s="5"/>
      <c r="L156" s="5"/>
      <c r="M156" s="5"/>
      <c r="N156" s="5"/>
      <c r="O156" s="5"/>
      <c r="P156" s="5"/>
      <c r="Q156" s="6"/>
      <c r="R156" s="4">
        <f>IF(C$148="Slow Track",2,1)</f>
        <v>1</v>
      </c>
      <c r="S156" s="6"/>
      <c r="T156" s="1"/>
      <c r="U156" s="4" t="s">
        <v>179</v>
      </c>
      <c r="V156" s="5"/>
      <c r="W156" s="5"/>
      <c r="X156" s="5"/>
      <c r="Y156" s="5"/>
      <c r="Z156" s="5"/>
      <c r="AA156" s="5"/>
      <c r="AB156" s="5"/>
      <c r="AC156" s="5"/>
      <c r="AD156" s="5"/>
      <c r="AE156" s="5"/>
      <c r="AF156" s="5"/>
      <c r="AG156" s="5"/>
      <c r="AH156" s="5"/>
      <c r="AI156" s="6"/>
      <c r="AJ156" s="4">
        <f>IF(U$148="Slow Track",2,1)</f>
        <v>1</v>
      </c>
      <c r="AK156" s="6"/>
      <c r="AL156" s="1"/>
      <c r="AM156" s="4" t="s">
        <v>179</v>
      </c>
      <c r="AN156" s="5"/>
      <c r="AO156" s="5"/>
      <c r="AP156" s="5"/>
      <c r="AQ156" s="5"/>
      <c r="AR156" s="5"/>
      <c r="AS156" s="5"/>
      <c r="AT156" s="5"/>
      <c r="AU156" s="5"/>
      <c r="AV156" s="5"/>
      <c r="AW156" s="5"/>
      <c r="AX156" s="5"/>
      <c r="AY156" s="5"/>
      <c r="AZ156" s="5"/>
      <c r="BA156" s="6"/>
      <c r="BB156" s="4">
        <f>IF(AM$148="Slow Track",2,1)</f>
        <v>2</v>
      </c>
      <c r="BC156" s="6"/>
      <c r="BD156" s="1"/>
      <c r="BE156" s="4" t="s">
        <v>179</v>
      </c>
      <c r="BF156" s="5"/>
      <c r="BG156" s="5"/>
      <c r="BH156" s="5"/>
      <c r="BI156" s="5"/>
      <c r="BJ156" s="5"/>
      <c r="BK156" s="5"/>
      <c r="BL156" s="5"/>
      <c r="BM156" s="5"/>
      <c r="BN156" s="5"/>
      <c r="BO156" s="5"/>
      <c r="BP156" s="5"/>
      <c r="BQ156" s="5"/>
      <c r="BR156" s="5"/>
      <c r="BS156" s="6"/>
      <c r="BT156" s="4">
        <f>IF(BE$148="Slow Track",2,1)</f>
        <v>1</v>
      </c>
      <c r="BU156" s="6"/>
      <c r="BV156" s="1"/>
      <c r="BW156" s="1"/>
      <c r="BX156" s="1"/>
      <c r="BY156" s="1"/>
      <c r="BZ156" s="1"/>
      <c r="CA156" s="1"/>
      <c r="CB156" s="1"/>
      <c r="CC156" s="1"/>
      <c r="CD156" s="1"/>
      <c r="CE156" s="1"/>
      <c r="CF156" s="1"/>
      <c r="CG156" s="1"/>
      <c r="CH156" s="1"/>
      <c r="CI156" s="1"/>
      <c r="CJ156" s="1"/>
      <c r="CK156" s="1"/>
      <c r="CL156" s="1"/>
      <c r="CM156" s="1"/>
      <c r="CN156" s="1"/>
      <c r="CO156" s="1"/>
      <c r="CP156" s="1"/>
    </row>
    <row r="157" ht="11.25" customHeight="1">
      <c r="A157" s="1"/>
      <c r="B157" s="1"/>
      <c r="C157" s="11"/>
      <c r="D157" s="12"/>
      <c r="E157" s="12"/>
      <c r="F157" s="12"/>
      <c r="G157" s="12"/>
      <c r="H157" s="12"/>
      <c r="I157" s="12"/>
      <c r="J157" s="12"/>
      <c r="K157" s="12"/>
      <c r="L157" s="12"/>
      <c r="M157" s="12"/>
      <c r="N157" s="12"/>
      <c r="O157" s="12"/>
      <c r="P157" s="12"/>
      <c r="Q157" s="13"/>
      <c r="R157" s="11"/>
      <c r="S157" s="13"/>
      <c r="T157" s="1"/>
      <c r="U157" s="11"/>
      <c r="V157" s="12"/>
      <c r="W157" s="12"/>
      <c r="X157" s="12"/>
      <c r="Y157" s="12"/>
      <c r="Z157" s="12"/>
      <c r="AA157" s="12"/>
      <c r="AB157" s="12"/>
      <c r="AC157" s="12"/>
      <c r="AD157" s="12"/>
      <c r="AE157" s="12"/>
      <c r="AF157" s="12"/>
      <c r="AG157" s="12"/>
      <c r="AH157" s="12"/>
      <c r="AI157" s="13"/>
      <c r="AJ157" s="11"/>
      <c r="AK157" s="13"/>
      <c r="AL157" s="1"/>
      <c r="AM157" s="11"/>
      <c r="AN157" s="12"/>
      <c r="AO157" s="12"/>
      <c r="AP157" s="12"/>
      <c r="AQ157" s="12"/>
      <c r="AR157" s="12"/>
      <c r="AS157" s="12"/>
      <c r="AT157" s="12"/>
      <c r="AU157" s="12"/>
      <c r="AV157" s="12"/>
      <c r="AW157" s="12"/>
      <c r="AX157" s="12"/>
      <c r="AY157" s="12"/>
      <c r="AZ157" s="12"/>
      <c r="BA157" s="13"/>
      <c r="BB157" s="11"/>
      <c r="BC157" s="13"/>
      <c r="BD157" s="1"/>
      <c r="BE157" s="11"/>
      <c r="BF157" s="12"/>
      <c r="BG157" s="12"/>
      <c r="BH157" s="12"/>
      <c r="BI157" s="12"/>
      <c r="BJ157" s="12"/>
      <c r="BK157" s="12"/>
      <c r="BL157" s="12"/>
      <c r="BM157" s="12"/>
      <c r="BN157" s="12"/>
      <c r="BO157" s="12"/>
      <c r="BP157" s="12"/>
      <c r="BQ157" s="12"/>
      <c r="BR157" s="12"/>
      <c r="BS157" s="13"/>
      <c r="BT157" s="11"/>
      <c r="BU157" s="13"/>
      <c r="BV157" s="1"/>
      <c r="BW157" s="1"/>
      <c r="BX157" s="1"/>
      <c r="BY157" s="1"/>
      <c r="BZ157" s="1"/>
      <c r="CA157" s="1"/>
      <c r="CB157" s="1"/>
      <c r="CC157" s="1"/>
      <c r="CD157" s="1"/>
      <c r="CE157" s="1"/>
      <c r="CF157" s="1"/>
      <c r="CG157" s="1"/>
      <c r="CH157" s="1"/>
      <c r="CI157" s="1"/>
      <c r="CJ157" s="1"/>
      <c r="CK157" s="1"/>
      <c r="CL157" s="1"/>
      <c r="CM157" s="1"/>
      <c r="CN157" s="1"/>
      <c r="CO157" s="1"/>
      <c r="CP157" s="1"/>
    </row>
    <row r="158" ht="11.25" customHeight="1">
      <c r="A158" s="1"/>
      <c r="B158" s="1"/>
      <c r="C158" s="25" t="s">
        <v>180</v>
      </c>
      <c r="D158" s="5"/>
      <c r="E158" s="5"/>
      <c r="F158" s="5"/>
      <c r="G158" s="5"/>
      <c r="H158" s="5"/>
      <c r="I158" s="5"/>
      <c r="J158" s="5"/>
      <c r="K158" s="5"/>
      <c r="L158" s="5"/>
      <c r="M158" s="5"/>
      <c r="N158" s="5"/>
      <c r="O158" s="5"/>
      <c r="P158" s="5"/>
      <c r="Q158" s="5"/>
      <c r="R158" s="5"/>
      <c r="S158" s="6"/>
      <c r="T158" s="1"/>
      <c r="U158" s="25" t="s">
        <v>181</v>
      </c>
      <c r="V158" s="5"/>
      <c r="W158" s="5"/>
      <c r="X158" s="5"/>
      <c r="Y158" s="5"/>
      <c r="Z158" s="5"/>
      <c r="AA158" s="5"/>
      <c r="AB158" s="5"/>
      <c r="AC158" s="5"/>
      <c r="AD158" s="5"/>
      <c r="AE158" s="5"/>
      <c r="AF158" s="5"/>
      <c r="AG158" s="5"/>
      <c r="AH158" s="5"/>
      <c r="AI158" s="5"/>
      <c r="AJ158" s="5"/>
      <c r="AK158" s="6"/>
      <c r="AL158" s="1"/>
      <c r="AM158" s="46" t="str">
        <f>IF($AC$9&gt;=BB156,"Dance of the Sun and Moon","")</f>
        <v>Dance of the Sun and Moon</v>
      </c>
      <c r="AN158" s="5"/>
      <c r="AO158" s="5"/>
      <c r="AP158" s="5"/>
      <c r="AQ158" s="5"/>
      <c r="AR158" s="5"/>
      <c r="AS158" s="5"/>
      <c r="AT158" s="5"/>
      <c r="AU158" s="5"/>
      <c r="AV158" s="5"/>
      <c r="AW158" s="5"/>
      <c r="AX158" s="5"/>
      <c r="AY158" s="5"/>
      <c r="AZ158" s="5"/>
      <c r="BA158" s="5"/>
      <c r="BB158" s="5"/>
      <c r="BC158" s="6"/>
      <c r="BD158" s="1"/>
      <c r="BE158" s="23" t="s">
        <v>182</v>
      </c>
      <c r="BF158" s="5"/>
      <c r="BG158" s="5"/>
      <c r="BH158" s="5"/>
      <c r="BI158" s="5"/>
      <c r="BJ158" s="5"/>
      <c r="BK158" s="5"/>
      <c r="BL158" s="5"/>
      <c r="BM158" s="5"/>
      <c r="BN158" s="5"/>
      <c r="BO158" s="5"/>
      <c r="BP158" s="5"/>
      <c r="BQ158" s="5"/>
      <c r="BR158" s="5"/>
      <c r="BS158" s="5"/>
      <c r="BT158" s="5"/>
      <c r="BU158" s="6"/>
      <c r="BV158" s="1"/>
      <c r="BW158" s="1"/>
      <c r="BX158" s="1"/>
      <c r="BY158" s="1"/>
      <c r="BZ158" s="1"/>
      <c r="CA158" s="1"/>
      <c r="CB158" s="1"/>
      <c r="CC158" s="1"/>
      <c r="CD158" s="1"/>
      <c r="CE158" s="1"/>
      <c r="CF158" s="1"/>
      <c r="CG158" s="1"/>
      <c r="CH158" s="1"/>
      <c r="CI158" s="1"/>
      <c r="CJ158" s="1"/>
      <c r="CK158" s="1"/>
      <c r="CL158" s="1"/>
      <c r="CM158" s="1"/>
      <c r="CN158" s="1"/>
      <c r="CO158" s="1"/>
      <c r="CP158" s="1"/>
    </row>
    <row r="159" ht="11.25" customHeight="1">
      <c r="A159" s="1"/>
      <c r="B159" s="1"/>
      <c r="C159" s="11"/>
      <c r="D159" s="12"/>
      <c r="E159" s="12"/>
      <c r="F159" s="12"/>
      <c r="G159" s="12"/>
      <c r="H159" s="12"/>
      <c r="I159" s="12"/>
      <c r="J159" s="12"/>
      <c r="K159" s="12"/>
      <c r="L159" s="12"/>
      <c r="M159" s="12"/>
      <c r="N159" s="12"/>
      <c r="O159" s="12"/>
      <c r="P159" s="12"/>
      <c r="Q159" s="12"/>
      <c r="R159" s="12"/>
      <c r="S159" s="13"/>
      <c r="T159" s="1"/>
      <c r="U159" s="11"/>
      <c r="V159" s="12"/>
      <c r="W159" s="12"/>
      <c r="X159" s="12"/>
      <c r="Y159" s="12"/>
      <c r="Z159" s="12"/>
      <c r="AA159" s="12"/>
      <c r="AB159" s="12"/>
      <c r="AC159" s="12"/>
      <c r="AD159" s="12"/>
      <c r="AE159" s="12"/>
      <c r="AF159" s="12"/>
      <c r="AG159" s="12"/>
      <c r="AH159" s="12"/>
      <c r="AI159" s="12"/>
      <c r="AJ159" s="12"/>
      <c r="AK159" s="13"/>
      <c r="AL159" s="1"/>
      <c r="AM159" s="11"/>
      <c r="AN159" s="12"/>
      <c r="AO159" s="12"/>
      <c r="AP159" s="12"/>
      <c r="AQ159" s="12"/>
      <c r="AR159" s="12"/>
      <c r="AS159" s="12"/>
      <c r="AT159" s="12"/>
      <c r="AU159" s="12"/>
      <c r="AV159" s="12"/>
      <c r="AW159" s="12"/>
      <c r="AX159" s="12"/>
      <c r="AY159" s="12"/>
      <c r="AZ159" s="12"/>
      <c r="BA159" s="12"/>
      <c r="BB159" s="12"/>
      <c r="BC159" s="13"/>
      <c r="BD159" s="1"/>
      <c r="BE159" s="11"/>
      <c r="BF159" s="12"/>
      <c r="BG159" s="12"/>
      <c r="BH159" s="12"/>
      <c r="BI159" s="12"/>
      <c r="BJ159" s="12"/>
      <c r="BK159" s="12"/>
      <c r="BL159" s="12"/>
      <c r="BM159" s="12"/>
      <c r="BN159" s="12"/>
      <c r="BO159" s="12"/>
      <c r="BP159" s="12"/>
      <c r="BQ159" s="12"/>
      <c r="BR159" s="12"/>
      <c r="BS159" s="12"/>
      <c r="BT159" s="12"/>
      <c r="BU159" s="13"/>
      <c r="BV159" s="1"/>
      <c r="BW159" s="1"/>
      <c r="BX159" s="1"/>
      <c r="BY159" s="1"/>
      <c r="BZ159" s="1"/>
      <c r="CA159" s="1"/>
      <c r="CB159" s="1"/>
      <c r="CC159" s="1"/>
      <c r="CD159" s="1"/>
      <c r="CE159" s="1"/>
      <c r="CF159" s="1"/>
      <c r="CG159" s="1"/>
      <c r="CH159" s="1"/>
      <c r="CI159" s="1"/>
      <c r="CJ159" s="1"/>
      <c r="CK159" s="1"/>
      <c r="CL159" s="1"/>
      <c r="CM159" s="1"/>
      <c r="CN159" s="1"/>
      <c r="CO159" s="1"/>
      <c r="CP159" s="1"/>
    </row>
    <row r="160" ht="11.25" customHeight="1">
      <c r="A160" s="1"/>
      <c r="B160" s="1"/>
      <c r="C160" s="70" t="str">
        <f>CONCATENATE("+",$AC$9," HP when healed by others",char(10),"Leading the Charge: No AC penalty on a Charge")</f>
        <v>+4 HP when healed by others
Leading the Charge: No AC penalty on a Charge</v>
      </c>
      <c r="S160" s="34"/>
      <c r="T160" s="71"/>
      <c r="U160" s="70" t="str">
        <f>CONCATENATE("Tooth &amp; Claw natural weapon",char(10),"+2 Perception/Awareness")</f>
        <v>Tooth &amp; Claw natural weapon
+2 Perception/Awareness</v>
      </c>
      <c r="AK160" s="34"/>
      <c r="AL160" s="71"/>
      <c r="AM160" s="72" t="str">
        <f>IF($AC$9&gt;=BB156,"Reckless Moon: 1/[Encounter]: Negate effect on a passed Reflex save","")</f>
        <v>Reckless Moon: 1/[Encounter]: Negate effect on a passed Reflex save</v>
      </c>
      <c r="AN160" s="5"/>
      <c r="AO160" s="5"/>
      <c r="AP160" s="5"/>
      <c r="AQ160" s="5"/>
      <c r="AR160" s="5"/>
      <c r="AS160" s="5"/>
      <c r="AT160" s="5"/>
      <c r="AU160" s="5"/>
      <c r="AV160" s="5"/>
      <c r="AW160" s="5"/>
      <c r="AX160" s="5"/>
      <c r="AY160" s="5"/>
      <c r="AZ160" s="5"/>
      <c r="BA160" s="5"/>
      <c r="BB160" s="5"/>
      <c r="BC160" s="6"/>
      <c r="BD160" s="1"/>
      <c r="BE160" s="70" t="str">
        <f>CONCATENATE("1/[Scene] per creature SWIFT: Will or learn Truename of creature within [Close] range",char(10),"SWIFT TRUE: Creature hears words, may be [Shaken] for one [Round]")</f>
        <v>1/[Scene] per creature SWIFT: Will or learn Truename of creature within [Close] range
SWIFT TRUE: Creature hears words, may be [Shaken] for one [Round]</v>
      </c>
      <c r="BU160" s="34"/>
      <c r="BV160" s="1"/>
      <c r="BW160" s="1"/>
      <c r="BX160" s="1"/>
      <c r="BY160" s="1"/>
      <c r="BZ160" s="1"/>
      <c r="CA160" s="1"/>
      <c r="CB160" s="1"/>
      <c r="CC160" s="1"/>
      <c r="CD160" s="1"/>
      <c r="CE160" s="1"/>
      <c r="CF160" s="1"/>
      <c r="CG160" s="1"/>
      <c r="CH160" s="1"/>
      <c r="CI160" s="1"/>
      <c r="CJ160" s="1"/>
      <c r="CK160" s="1"/>
      <c r="CL160" s="1"/>
      <c r="CM160" s="1"/>
      <c r="CN160" s="1"/>
      <c r="CO160" s="1"/>
      <c r="CP160" s="1"/>
    </row>
    <row r="161" ht="11.25" customHeight="1">
      <c r="A161" s="1"/>
      <c r="B161" s="1"/>
      <c r="C161" s="59"/>
      <c r="S161" s="34"/>
      <c r="T161" s="71"/>
      <c r="U161" s="59"/>
      <c r="AK161" s="34"/>
      <c r="AL161" s="71"/>
      <c r="AM161" s="59"/>
      <c r="BC161" s="34"/>
      <c r="BD161" s="1"/>
      <c r="BE161" s="59"/>
      <c r="BU161" s="34"/>
      <c r="BV161" s="1"/>
      <c r="BW161" s="1"/>
      <c r="BX161" s="1"/>
      <c r="BY161" s="1"/>
      <c r="BZ161" s="1"/>
      <c r="CA161" s="1"/>
      <c r="CB161" s="1"/>
      <c r="CC161" s="1"/>
      <c r="CD161" s="1"/>
      <c r="CE161" s="1"/>
      <c r="CF161" s="1"/>
      <c r="CG161" s="1"/>
      <c r="CH161" s="1"/>
      <c r="CI161" s="1"/>
      <c r="CJ161" s="1"/>
      <c r="CK161" s="1"/>
      <c r="CL161" s="1"/>
      <c r="CM161" s="1"/>
      <c r="CN161" s="1"/>
      <c r="CO161" s="1"/>
      <c r="CP161" s="1"/>
    </row>
    <row r="162" ht="11.25" customHeight="1">
      <c r="A162" s="1"/>
      <c r="B162" s="1"/>
      <c r="C162" s="59"/>
      <c r="S162" s="34"/>
      <c r="T162" s="71"/>
      <c r="U162" s="59"/>
      <c r="AK162" s="34"/>
      <c r="AL162" s="71"/>
      <c r="AM162" s="59"/>
      <c r="BC162" s="34"/>
      <c r="BD162" s="1"/>
      <c r="BE162" s="59"/>
      <c r="BU162" s="34"/>
      <c r="BV162" s="1"/>
      <c r="BW162" s="1"/>
      <c r="BX162" s="1"/>
      <c r="BY162" s="1"/>
      <c r="BZ162" s="1"/>
      <c r="CA162" s="1"/>
      <c r="CB162" s="1"/>
      <c r="CC162" s="1"/>
      <c r="CD162" s="1"/>
      <c r="CE162" s="1"/>
      <c r="CF162" s="1"/>
      <c r="CG162" s="1"/>
      <c r="CH162" s="1"/>
      <c r="CI162" s="1"/>
      <c r="CJ162" s="1"/>
      <c r="CK162" s="1"/>
      <c r="CL162" s="1"/>
      <c r="CM162" s="1"/>
      <c r="CN162" s="1"/>
      <c r="CO162" s="1"/>
      <c r="CP162" s="1"/>
    </row>
    <row r="163" ht="11.25" customHeight="1">
      <c r="A163" s="1"/>
      <c r="B163" s="1"/>
      <c r="C163" s="59"/>
      <c r="S163" s="34"/>
      <c r="T163" s="71"/>
      <c r="U163" s="59"/>
      <c r="AK163" s="34"/>
      <c r="AL163" s="71"/>
      <c r="AM163" s="59"/>
      <c r="BC163" s="34"/>
      <c r="BD163" s="1"/>
      <c r="BE163" s="59"/>
      <c r="BU163" s="34"/>
      <c r="BV163" s="1"/>
      <c r="BW163" s="1"/>
      <c r="BX163" s="1"/>
      <c r="BY163" s="1"/>
      <c r="BZ163" s="1"/>
      <c r="CA163" s="1"/>
      <c r="CB163" s="1"/>
      <c r="CC163" s="1"/>
      <c r="CD163" s="1"/>
      <c r="CE163" s="1"/>
      <c r="CF163" s="1"/>
      <c r="CG163" s="1"/>
      <c r="CH163" s="1"/>
      <c r="CI163" s="1"/>
      <c r="CJ163" s="1"/>
      <c r="CK163" s="1"/>
      <c r="CL163" s="1"/>
      <c r="CM163" s="1"/>
      <c r="CN163" s="1"/>
      <c r="CO163" s="1"/>
      <c r="CP163" s="1"/>
    </row>
    <row r="164" ht="11.25" customHeight="1">
      <c r="A164" s="1"/>
      <c r="B164" s="1"/>
      <c r="C164" s="59"/>
      <c r="S164" s="34"/>
      <c r="T164" s="71"/>
      <c r="U164" s="59"/>
      <c r="AK164" s="34"/>
      <c r="AL164" s="71"/>
      <c r="AM164" s="59"/>
      <c r="BC164" s="34"/>
      <c r="BD164" s="1"/>
      <c r="BE164" s="59"/>
      <c r="BU164" s="34"/>
      <c r="BV164" s="1"/>
      <c r="BW164" s="1"/>
      <c r="BX164" s="1"/>
      <c r="BY164" s="1"/>
      <c r="BZ164" s="1"/>
      <c r="CA164" s="1"/>
      <c r="CB164" s="1"/>
      <c r="CC164" s="1"/>
      <c r="CD164" s="1"/>
      <c r="CE164" s="1"/>
      <c r="CF164" s="1"/>
      <c r="CG164" s="1"/>
      <c r="CH164" s="1"/>
      <c r="CI164" s="1"/>
      <c r="CJ164" s="1"/>
      <c r="CK164" s="1"/>
      <c r="CL164" s="1"/>
      <c r="CM164" s="1"/>
      <c r="CN164" s="1"/>
      <c r="CO164" s="1"/>
      <c r="CP164" s="1"/>
    </row>
    <row r="165" ht="11.25" customHeight="1">
      <c r="A165" s="1"/>
      <c r="B165" s="1"/>
      <c r="C165" s="59"/>
      <c r="S165" s="34"/>
      <c r="T165" s="71"/>
      <c r="U165" s="59"/>
      <c r="AK165" s="34"/>
      <c r="AL165" s="71"/>
      <c r="AM165" s="59"/>
      <c r="BC165" s="34"/>
      <c r="BD165" s="1"/>
      <c r="BE165" s="59"/>
      <c r="BU165" s="34"/>
      <c r="BV165" s="1"/>
      <c r="BW165" s="1"/>
      <c r="BX165" s="1"/>
      <c r="BY165" s="1"/>
      <c r="BZ165" s="1"/>
      <c r="CA165" s="1"/>
      <c r="CB165" s="1"/>
      <c r="CC165" s="1"/>
      <c r="CD165" s="1"/>
      <c r="CE165" s="1"/>
      <c r="CF165" s="1"/>
      <c r="CG165" s="1"/>
      <c r="CH165" s="1"/>
      <c r="CI165" s="1"/>
      <c r="CJ165" s="1"/>
      <c r="CK165" s="1"/>
      <c r="CL165" s="1"/>
      <c r="CM165" s="1"/>
      <c r="CN165" s="1"/>
      <c r="CO165" s="1"/>
      <c r="CP165" s="1"/>
    </row>
    <row r="166" ht="11.25" customHeight="1">
      <c r="A166" s="1"/>
      <c r="B166" s="1"/>
      <c r="C166" s="59"/>
      <c r="S166" s="34"/>
      <c r="T166" s="71"/>
      <c r="U166" s="59"/>
      <c r="AK166" s="34"/>
      <c r="AL166" s="71"/>
      <c r="AM166" s="59"/>
      <c r="BC166" s="34"/>
      <c r="BD166" s="1"/>
      <c r="BE166" s="59"/>
      <c r="BU166" s="34"/>
      <c r="BV166" s="1"/>
      <c r="BW166" s="1"/>
      <c r="BX166" s="1"/>
      <c r="BY166" s="1"/>
      <c r="BZ166" s="1"/>
      <c r="CA166" s="1"/>
      <c r="CB166" s="1"/>
      <c r="CC166" s="1"/>
      <c r="CD166" s="1"/>
      <c r="CE166" s="1"/>
      <c r="CF166" s="1"/>
      <c r="CG166" s="1"/>
      <c r="CH166" s="1"/>
      <c r="CI166" s="1"/>
      <c r="CJ166" s="1"/>
      <c r="CK166" s="1"/>
      <c r="CL166" s="1"/>
      <c r="CM166" s="1"/>
      <c r="CN166" s="1"/>
      <c r="CO166" s="1"/>
      <c r="CP166" s="1"/>
    </row>
    <row r="167" ht="11.25" customHeight="1">
      <c r="A167" s="1"/>
      <c r="B167" s="1"/>
      <c r="C167" s="11"/>
      <c r="D167" s="12"/>
      <c r="E167" s="12"/>
      <c r="F167" s="12"/>
      <c r="G167" s="12"/>
      <c r="H167" s="12"/>
      <c r="I167" s="12"/>
      <c r="J167" s="12"/>
      <c r="K167" s="12"/>
      <c r="L167" s="12"/>
      <c r="M167" s="12"/>
      <c r="N167" s="12"/>
      <c r="O167" s="12"/>
      <c r="P167" s="12"/>
      <c r="Q167" s="12"/>
      <c r="R167" s="12"/>
      <c r="S167" s="13"/>
      <c r="T167" s="71"/>
      <c r="U167" s="11"/>
      <c r="V167" s="12"/>
      <c r="W167" s="12"/>
      <c r="X167" s="12"/>
      <c r="Y167" s="12"/>
      <c r="Z167" s="12"/>
      <c r="AA167" s="12"/>
      <c r="AB167" s="12"/>
      <c r="AC167" s="12"/>
      <c r="AD167" s="12"/>
      <c r="AE167" s="12"/>
      <c r="AF167" s="12"/>
      <c r="AG167" s="12"/>
      <c r="AH167" s="12"/>
      <c r="AI167" s="12"/>
      <c r="AJ167" s="12"/>
      <c r="AK167" s="13"/>
      <c r="AL167" s="71"/>
      <c r="AM167" s="11"/>
      <c r="AN167" s="12"/>
      <c r="AO167" s="12"/>
      <c r="AP167" s="12"/>
      <c r="AQ167" s="12"/>
      <c r="AR167" s="12"/>
      <c r="AS167" s="12"/>
      <c r="AT167" s="12"/>
      <c r="AU167" s="12"/>
      <c r="AV167" s="12"/>
      <c r="AW167" s="12"/>
      <c r="AX167" s="12"/>
      <c r="AY167" s="12"/>
      <c r="AZ167" s="12"/>
      <c r="BA167" s="12"/>
      <c r="BB167" s="12"/>
      <c r="BC167" s="13"/>
      <c r="BD167" s="1"/>
      <c r="BE167" s="11"/>
      <c r="BF167" s="12"/>
      <c r="BG167" s="12"/>
      <c r="BH167" s="12"/>
      <c r="BI167" s="12"/>
      <c r="BJ167" s="12"/>
      <c r="BK167" s="12"/>
      <c r="BL167" s="12"/>
      <c r="BM167" s="12"/>
      <c r="BN167" s="12"/>
      <c r="BO167" s="12"/>
      <c r="BP167" s="12"/>
      <c r="BQ167" s="12"/>
      <c r="BR167" s="12"/>
      <c r="BS167" s="12"/>
      <c r="BT167" s="12"/>
      <c r="BU167" s="13"/>
      <c r="BV167" s="1"/>
      <c r="BW167" s="1"/>
      <c r="BX167" s="1"/>
      <c r="BY167" s="1"/>
      <c r="BZ167" s="1"/>
      <c r="CA167" s="1"/>
      <c r="CB167" s="1"/>
      <c r="CC167" s="1"/>
      <c r="CD167" s="1"/>
      <c r="CE167" s="1"/>
      <c r="CF167" s="1"/>
      <c r="CG167" s="1"/>
      <c r="CH167" s="1"/>
      <c r="CI167" s="1"/>
      <c r="CJ167" s="1"/>
      <c r="CK167" s="1"/>
      <c r="CL167" s="1"/>
      <c r="CM167" s="1"/>
      <c r="CN167" s="1"/>
      <c r="CO167" s="1"/>
      <c r="CP167" s="1"/>
    </row>
    <row r="168" ht="11.25" customHeight="1">
      <c r="A168" s="1"/>
      <c r="B168" s="1"/>
      <c r="C168" s="1"/>
      <c r="D168" s="1"/>
      <c r="E168" s="1"/>
      <c r="F168" s="1"/>
      <c r="G168" s="1"/>
      <c r="H168" s="1"/>
      <c r="I168" s="1"/>
      <c r="J168" s="1"/>
      <c r="K168" s="1"/>
      <c r="L168" s="1"/>
      <c r="M168" s="1"/>
      <c r="N168" s="1"/>
      <c r="O168" s="1"/>
      <c r="P168" s="1"/>
      <c r="Q168" s="1"/>
      <c r="R168" s="20" t="s">
        <v>48</v>
      </c>
      <c r="T168" s="1"/>
      <c r="U168" s="1"/>
      <c r="V168" s="1"/>
      <c r="W168" s="1"/>
      <c r="X168" s="1"/>
      <c r="Y168" s="1"/>
      <c r="Z168" s="1"/>
      <c r="AA168" s="1"/>
      <c r="AB168" s="1"/>
      <c r="AC168" s="1"/>
      <c r="AD168" s="1"/>
      <c r="AE168" s="1"/>
      <c r="AF168" s="1"/>
      <c r="AG168" s="1"/>
      <c r="AH168" s="1"/>
      <c r="AI168" s="1"/>
      <c r="AJ168" s="20" t="s">
        <v>48</v>
      </c>
      <c r="AL168" s="1"/>
      <c r="AM168" s="1"/>
      <c r="AN168" s="1"/>
      <c r="AO168" s="1"/>
      <c r="AP168" s="1"/>
      <c r="AQ168" s="1"/>
      <c r="AR168" s="1"/>
      <c r="AS168" s="1"/>
      <c r="AT168" s="1"/>
      <c r="AU168" s="1"/>
      <c r="AV168" s="1"/>
      <c r="AW168" s="1"/>
      <c r="AX168" s="1"/>
      <c r="AY168" s="1"/>
      <c r="AZ168" s="1"/>
      <c r="BA168" s="1"/>
      <c r="BB168" s="20" t="s">
        <v>48</v>
      </c>
      <c r="BD168" s="1"/>
      <c r="BE168" s="1"/>
      <c r="BF168" s="1"/>
      <c r="BG168" s="1"/>
      <c r="BH168" s="1"/>
      <c r="BI168" s="1"/>
      <c r="BJ168" s="1"/>
      <c r="BK168" s="1"/>
      <c r="BL168" s="1"/>
      <c r="BM168" s="1"/>
      <c r="BN168" s="1"/>
      <c r="BO168" s="1"/>
      <c r="BP168" s="1"/>
      <c r="BQ168" s="1"/>
      <c r="BR168" s="1"/>
      <c r="BS168" s="1"/>
      <c r="BT168" s="20" t="s">
        <v>48</v>
      </c>
      <c r="BV168" s="1"/>
      <c r="BW168" s="1"/>
      <c r="BX168" s="1"/>
      <c r="BY168" s="1"/>
      <c r="BZ168" s="1"/>
      <c r="CA168" s="1"/>
      <c r="CB168" s="1"/>
      <c r="CC168" s="1"/>
      <c r="CD168" s="1"/>
      <c r="CE168" s="1"/>
      <c r="CF168" s="1"/>
      <c r="CG168" s="1"/>
      <c r="CH168" s="1"/>
      <c r="CI168" s="1"/>
      <c r="CJ168" s="1"/>
      <c r="CK168" s="1"/>
      <c r="CL168" s="1"/>
      <c r="CM168" s="1"/>
      <c r="CN168" s="1"/>
      <c r="CO168" s="1"/>
      <c r="CP168" s="1"/>
    </row>
    <row r="169" ht="11.25" customHeight="1">
      <c r="A169" s="1"/>
      <c r="B169" s="1"/>
      <c r="C169" s="4" t="s">
        <v>183</v>
      </c>
      <c r="D169" s="5"/>
      <c r="E169" s="5"/>
      <c r="F169" s="5"/>
      <c r="G169" s="5"/>
      <c r="H169" s="5"/>
      <c r="I169" s="5"/>
      <c r="J169" s="5"/>
      <c r="K169" s="5"/>
      <c r="L169" s="5"/>
      <c r="M169" s="5"/>
      <c r="N169" s="5"/>
      <c r="O169" s="5"/>
      <c r="P169" s="5"/>
      <c r="Q169" s="6"/>
      <c r="R169" s="4">
        <f>SWITCH(C$148,"Fast Track",3,"Slow Track",5,4)</f>
        <v>3</v>
      </c>
      <c r="S169" s="6"/>
      <c r="T169" s="1"/>
      <c r="U169" s="4" t="s">
        <v>183</v>
      </c>
      <c r="V169" s="5"/>
      <c r="W169" s="5"/>
      <c r="X169" s="5"/>
      <c r="Y169" s="5"/>
      <c r="Z169" s="5"/>
      <c r="AA169" s="5"/>
      <c r="AB169" s="5"/>
      <c r="AC169" s="5"/>
      <c r="AD169" s="5"/>
      <c r="AE169" s="5"/>
      <c r="AF169" s="5"/>
      <c r="AG169" s="5"/>
      <c r="AH169" s="5"/>
      <c r="AI169" s="6"/>
      <c r="AJ169" s="4">
        <f>SWITCH(U$148,"Fast Track",3,"Slow Track",5,4)</f>
        <v>4</v>
      </c>
      <c r="AK169" s="6"/>
      <c r="AL169" s="1"/>
      <c r="AM169" s="4" t="s">
        <v>183</v>
      </c>
      <c r="AN169" s="5"/>
      <c r="AO169" s="5"/>
      <c r="AP169" s="5"/>
      <c r="AQ169" s="5"/>
      <c r="AR169" s="5"/>
      <c r="AS169" s="5"/>
      <c r="AT169" s="5"/>
      <c r="AU169" s="5"/>
      <c r="AV169" s="5"/>
      <c r="AW169" s="5"/>
      <c r="AX169" s="5"/>
      <c r="AY169" s="5"/>
      <c r="AZ169" s="5"/>
      <c r="BA169" s="6"/>
      <c r="BB169" s="4">
        <f>SWITCH(AM$148,"Fast Track",3,"Slow Track",5,4)</f>
        <v>5</v>
      </c>
      <c r="BC169" s="6"/>
      <c r="BD169" s="1"/>
      <c r="BE169" s="4" t="s">
        <v>183</v>
      </c>
      <c r="BF169" s="5"/>
      <c r="BG169" s="5"/>
      <c r="BH169" s="5"/>
      <c r="BI169" s="5"/>
      <c r="BJ169" s="5"/>
      <c r="BK169" s="5"/>
      <c r="BL169" s="5"/>
      <c r="BM169" s="5"/>
      <c r="BN169" s="5"/>
      <c r="BO169" s="5"/>
      <c r="BP169" s="5"/>
      <c r="BQ169" s="5"/>
      <c r="BR169" s="5"/>
      <c r="BS169" s="6"/>
      <c r="BT169" s="4">
        <f>SWITCH(BE$148,"Fast Track",3,"Slow Track",5,4)</f>
        <v>4</v>
      </c>
      <c r="BU169" s="6"/>
      <c r="BV169" s="1"/>
      <c r="BW169" s="1"/>
      <c r="BX169" s="1"/>
      <c r="BY169" s="1"/>
      <c r="BZ169" s="1"/>
      <c r="CA169" s="1"/>
      <c r="CB169" s="1"/>
      <c r="CC169" s="1"/>
      <c r="CD169" s="1"/>
      <c r="CE169" s="1"/>
      <c r="CF169" s="1"/>
      <c r="CG169" s="1"/>
      <c r="CH169" s="1"/>
      <c r="CI169" s="1"/>
      <c r="CJ169" s="1"/>
      <c r="CK169" s="1"/>
      <c r="CL169" s="1"/>
      <c r="CM169" s="1"/>
      <c r="CN169" s="1"/>
      <c r="CO169" s="1"/>
      <c r="CP169" s="1"/>
    </row>
    <row r="170" ht="11.25" customHeight="1">
      <c r="A170" s="1"/>
      <c r="B170" s="1"/>
      <c r="C170" s="11"/>
      <c r="D170" s="12"/>
      <c r="E170" s="12"/>
      <c r="F170" s="12"/>
      <c r="G170" s="12"/>
      <c r="H170" s="12"/>
      <c r="I170" s="12"/>
      <c r="J170" s="12"/>
      <c r="K170" s="12"/>
      <c r="L170" s="12"/>
      <c r="M170" s="12"/>
      <c r="N170" s="12"/>
      <c r="O170" s="12"/>
      <c r="P170" s="12"/>
      <c r="Q170" s="13"/>
      <c r="R170" s="11"/>
      <c r="S170" s="13"/>
      <c r="T170" s="1"/>
      <c r="U170" s="11"/>
      <c r="V170" s="12"/>
      <c r="W170" s="12"/>
      <c r="X170" s="12"/>
      <c r="Y170" s="12"/>
      <c r="Z170" s="12"/>
      <c r="AA170" s="12"/>
      <c r="AB170" s="12"/>
      <c r="AC170" s="12"/>
      <c r="AD170" s="12"/>
      <c r="AE170" s="12"/>
      <c r="AF170" s="12"/>
      <c r="AG170" s="12"/>
      <c r="AH170" s="12"/>
      <c r="AI170" s="13"/>
      <c r="AJ170" s="11"/>
      <c r="AK170" s="13"/>
      <c r="AL170" s="1"/>
      <c r="AM170" s="11"/>
      <c r="AN170" s="12"/>
      <c r="AO170" s="12"/>
      <c r="AP170" s="12"/>
      <c r="AQ170" s="12"/>
      <c r="AR170" s="12"/>
      <c r="AS170" s="12"/>
      <c r="AT170" s="12"/>
      <c r="AU170" s="12"/>
      <c r="AV170" s="12"/>
      <c r="AW170" s="12"/>
      <c r="AX170" s="12"/>
      <c r="AY170" s="12"/>
      <c r="AZ170" s="12"/>
      <c r="BA170" s="13"/>
      <c r="BB170" s="11"/>
      <c r="BC170" s="13"/>
      <c r="BD170" s="1"/>
      <c r="BE170" s="11"/>
      <c r="BF170" s="12"/>
      <c r="BG170" s="12"/>
      <c r="BH170" s="12"/>
      <c r="BI170" s="12"/>
      <c r="BJ170" s="12"/>
      <c r="BK170" s="12"/>
      <c r="BL170" s="12"/>
      <c r="BM170" s="12"/>
      <c r="BN170" s="12"/>
      <c r="BO170" s="12"/>
      <c r="BP170" s="12"/>
      <c r="BQ170" s="12"/>
      <c r="BR170" s="12"/>
      <c r="BS170" s="13"/>
      <c r="BT170" s="11"/>
      <c r="BU170" s="13"/>
      <c r="BV170" s="1"/>
      <c r="BW170" s="1"/>
      <c r="BX170" s="1"/>
      <c r="BY170" s="1"/>
      <c r="BZ170" s="1"/>
      <c r="CA170" s="1"/>
      <c r="CB170" s="1"/>
      <c r="CC170" s="1"/>
      <c r="CD170" s="1"/>
      <c r="CE170" s="1"/>
      <c r="CF170" s="1"/>
      <c r="CG170" s="1"/>
      <c r="CH170" s="1"/>
      <c r="CI170" s="1"/>
      <c r="CJ170" s="1"/>
      <c r="CK170" s="1"/>
      <c r="CL170" s="1"/>
      <c r="CM170" s="1"/>
      <c r="CN170" s="1"/>
      <c r="CO170" s="1"/>
      <c r="CP170" s="1"/>
    </row>
    <row r="171" ht="11.25" customHeight="1">
      <c r="A171" s="1"/>
      <c r="B171" s="1"/>
      <c r="C171" s="25" t="str">
        <f>IF($AC$9&gt;=R$169,"Hard to Break","")</f>
        <v>Hard to Break</v>
      </c>
      <c r="D171" s="5"/>
      <c r="E171" s="5"/>
      <c r="F171" s="5"/>
      <c r="G171" s="5"/>
      <c r="H171" s="5"/>
      <c r="I171" s="5"/>
      <c r="J171" s="5"/>
      <c r="K171" s="5"/>
      <c r="L171" s="5"/>
      <c r="M171" s="5"/>
      <c r="N171" s="5"/>
      <c r="O171" s="5"/>
      <c r="P171" s="5"/>
      <c r="Q171" s="5"/>
      <c r="R171" s="5"/>
      <c r="S171" s="6"/>
      <c r="T171" s="1"/>
      <c r="U171" s="25" t="str">
        <f>IF($AC$9&gt;=AJ$169,"I Can Smell You","")</f>
        <v>I Can Smell You</v>
      </c>
      <c r="V171" s="5"/>
      <c r="W171" s="5"/>
      <c r="X171" s="5"/>
      <c r="Y171" s="5"/>
      <c r="Z171" s="5"/>
      <c r="AA171" s="5"/>
      <c r="AB171" s="5"/>
      <c r="AC171" s="5"/>
      <c r="AD171" s="5"/>
      <c r="AE171" s="5"/>
      <c r="AF171" s="5"/>
      <c r="AG171" s="5"/>
      <c r="AH171" s="5"/>
      <c r="AI171" s="5"/>
      <c r="AJ171" s="5"/>
      <c r="AK171" s="6"/>
      <c r="AL171" s="1"/>
      <c r="AM171" s="46" t="str">
        <f>IF($AC$9&gt;=BB169,"Obsidian Mind","")</f>
        <v/>
      </c>
      <c r="AN171" s="5"/>
      <c r="AO171" s="5"/>
      <c r="AP171" s="5"/>
      <c r="AQ171" s="5"/>
      <c r="AR171" s="5"/>
      <c r="AS171" s="5"/>
      <c r="AT171" s="5"/>
      <c r="AU171" s="5"/>
      <c r="AV171" s="5"/>
      <c r="AW171" s="5"/>
      <c r="AX171" s="5"/>
      <c r="AY171" s="5"/>
      <c r="AZ171" s="5"/>
      <c r="BA171" s="5"/>
      <c r="BB171" s="5"/>
      <c r="BC171" s="6"/>
      <c r="BD171" s="1"/>
      <c r="BE171" s="25" t="str">
        <f>IF($AC$9&gt;=BT$169,"Trace the Lines","")</f>
        <v>Trace the Lines</v>
      </c>
      <c r="BF171" s="5"/>
      <c r="BG171" s="5"/>
      <c r="BH171" s="5"/>
      <c r="BI171" s="5"/>
      <c r="BJ171" s="5"/>
      <c r="BK171" s="5"/>
      <c r="BL171" s="5"/>
      <c r="BM171" s="5"/>
      <c r="BN171" s="5"/>
      <c r="BO171" s="5"/>
      <c r="BP171" s="5"/>
      <c r="BQ171" s="5"/>
      <c r="BR171" s="5"/>
      <c r="BS171" s="5"/>
      <c r="BT171" s="5"/>
      <c r="BU171" s="6"/>
      <c r="BV171" s="1"/>
      <c r="BW171" s="1"/>
      <c r="BX171" s="1"/>
      <c r="BY171" s="1"/>
      <c r="BZ171" s="1"/>
      <c r="CA171" s="1"/>
      <c r="CB171" s="1"/>
      <c r="CC171" s="1"/>
      <c r="CD171" s="1"/>
      <c r="CE171" s="1"/>
      <c r="CF171" s="1"/>
      <c r="CG171" s="1"/>
      <c r="CH171" s="1"/>
      <c r="CI171" s="1"/>
      <c r="CJ171" s="1"/>
      <c r="CK171" s="1"/>
      <c r="CL171" s="1"/>
      <c r="CM171" s="1"/>
      <c r="CN171" s="1"/>
      <c r="CO171" s="1"/>
      <c r="CP171" s="1"/>
    </row>
    <row r="172" ht="11.25" customHeight="1">
      <c r="A172" s="1"/>
      <c r="B172" s="1"/>
      <c r="C172" s="11"/>
      <c r="D172" s="12"/>
      <c r="E172" s="12"/>
      <c r="F172" s="12"/>
      <c r="G172" s="12"/>
      <c r="H172" s="12"/>
      <c r="I172" s="12"/>
      <c r="J172" s="12"/>
      <c r="K172" s="12"/>
      <c r="L172" s="12"/>
      <c r="M172" s="12"/>
      <c r="N172" s="12"/>
      <c r="O172" s="12"/>
      <c r="P172" s="12"/>
      <c r="Q172" s="12"/>
      <c r="R172" s="12"/>
      <c r="S172" s="13"/>
      <c r="T172" s="1"/>
      <c r="U172" s="11"/>
      <c r="V172" s="12"/>
      <c r="W172" s="12"/>
      <c r="X172" s="12"/>
      <c r="Y172" s="12"/>
      <c r="Z172" s="12"/>
      <c r="AA172" s="12"/>
      <c r="AB172" s="12"/>
      <c r="AC172" s="12"/>
      <c r="AD172" s="12"/>
      <c r="AE172" s="12"/>
      <c r="AF172" s="12"/>
      <c r="AG172" s="12"/>
      <c r="AH172" s="12"/>
      <c r="AI172" s="12"/>
      <c r="AJ172" s="12"/>
      <c r="AK172" s="13"/>
      <c r="AL172" s="1"/>
      <c r="AM172" s="11"/>
      <c r="AN172" s="12"/>
      <c r="AO172" s="12"/>
      <c r="AP172" s="12"/>
      <c r="AQ172" s="12"/>
      <c r="AR172" s="12"/>
      <c r="AS172" s="12"/>
      <c r="AT172" s="12"/>
      <c r="AU172" s="12"/>
      <c r="AV172" s="12"/>
      <c r="AW172" s="12"/>
      <c r="AX172" s="12"/>
      <c r="AY172" s="12"/>
      <c r="AZ172" s="12"/>
      <c r="BA172" s="12"/>
      <c r="BB172" s="12"/>
      <c r="BC172" s="13"/>
      <c r="BD172" s="1"/>
      <c r="BE172" s="11"/>
      <c r="BF172" s="12"/>
      <c r="BG172" s="12"/>
      <c r="BH172" s="12"/>
      <c r="BI172" s="12"/>
      <c r="BJ172" s="12"/>
      <c r="BK172" s="12"/>
      <c r="BL172" s="12"/>
      <c r="BM172" s="12"/>
      <c r="BN172" s="12"/>
      <c r="BO172" s="12"/>
      <c r="BP172" s="12"/>
      <c r="BQ172" s="12"/>
      <c r="BR172" s="12"/>
      <c r="BS172" s="12"/>
      <c r="BT172" s="12"/>
      <c r="BU172" s="13"/>
      <c r="BV172" s="1"/>
      <c r="BW172" s="1"/>
      <c r="BX172" s="1"/>
      <c r="BY172" s="1"/>
      <c r="BZ172" s="1"/>
      <c r="CA172" s="1"/>
      <c r="CB172" s="1"/>
      <c r="CC172" s="1"/>
      <c r="CD172" s="1"/>
      <c r="CE172" s="1"/>
      <c r="CF172" s="1"/>
      <c r="CG172" s="1"/>
      <c r="CH172" s="1"/>
      <c r="CI172" s="1"/>
      <c r="CJ172" s="1"/>
      <c r="CK172" s="1"/>
      <c r="CL172" s="1"/>
      <c r="CM172" s="1"/>
      <c r="CN172" s="1"/>
      <c r="CO172" s="1"/>
      <c r="CP172" s="1"/>
    </row>
    <row r="173" ht="11.25" customHeight="1">
      <c r="A173" s="1"/>
      <c r="B173" s="1"/>
      <c r="C173" s="70" t="str">
        <f>IF($AC$9&gt;=R$169,"1/[Encounter]: Negate effect on a passed Fort or Will save","")</f>
        <v>1/[Encounter]: Negate effect on a passed Fort or Will save</v>
      </c>
      <c r="S173" s="34"/>
      <c r="T173" s="71"/>
      <c r="U173" s="70" t="str">
        <f>IF($AC$9&gt;=AJ$169,CONCATENATE("[Figment] [Immunity]",char(10),"+3 Fury ATK on successful Perception"),"")</f>
        <v>[Figment] [Immunity]
+3 Fury ATK on successful Perception</v>
      </c>
      <c r="AK173" s="34"/>
      <c r="AL173" s="71"/>
      <c r="AM173" s="72" t="str">
        <f>IF($AC$9&gt;=BB169,"[Fear], [Intimidate] [Immunity]","")</f>
        <v/>
      </c>
      <c r="AN173" s="5"/>
      <c r="AO173" s="5"/>
      <c r="AP173" s="5"/>
      <c r="AQ173" s="5"/>
      <c r="AR173" s="5"/>
      <c r="AS173" s="5"/>
      <c r="AT173" s="5"/>
      <c r="AU173" s="5"/>
      <c r="AV173" s="5"/>
      <c r="AW173" s="5"/>
      <c r="AX173" s="5"/>
      <c r="AY173" s="5"/>
      <c r="AZ173" s="5"/>
      <c r="BA173" s="5"/>
      <c r="BB173" s="5"/>
      <c r="BC173" s="6"/>
      <c r="BD173" s="1"/>
      <c r="BE173" s="70" t="str">
        <f>IF($AC$9&gt;=BT$169,CONCATENATE("SWIFT TRUE: [Reveal] creature for one [Round] and learn its location",char(10),"SWIFT TRUE: Deal ",(2*BL$153)," DMG to creature within [Medium] range"),"")</f>
        <v>SWIFT TRUE: [Reveal] creature for one [Round] and learn its location
SWIFT TRUE: Deal 8 DMG to creature within [Medium] range</v>
      </c>
      <c r="BU173" s="34"/>
      <c r="BV173" s="1"/>
      <c r="BW173" s="1"/>
      <c r="BX173" s="1"/>
      <c r="BY173" s="1"/>
      <c r="BZ173" s="1"/>
      <c r="CA173" s="1"/>
      <c r="CB173" s="1"/>
      <c r="CC173" s="1"/>
      <c r="CD173" s="1"/>
      <c r="CE173" s="1"/>
      <c r="CF173" s="1"/>
      <c r="CG173" s="1"/>
      <c r="CH173" s="1"/>
      <c r="CI173" s="1"/>
      <c r="CJ173" s="1"/>
      <c r="CK173" s="1"/>
      <c r="CL173" s="1"/>
      <c r="CM173" s="1"/>
      <c r="CN173" s="1"/>
      <c r="CO173" s="1"/>
      <c r="CP173" s="1"/>
    </row>
    <row r="174" ht="11.25" customHeight="1">
      <c r="A174" s="1"/>
      <c r="B174" s="1"/>
      <c r="C174" s="59"/>
      <c r="S174" s="34"/>
      <c r="T174" s="71"/>
      <c r="U174" s="59"/>
      <c r="AK174" s="34"/>
      <c r="AL174" s="71"/>
      <c r="AM174" s="59"/>
      <c r="BC174" s="34"/>
      <c r="BD174" s="1"/>
      <c r="BE174" s="59"/>
      <c r="BU174" s="34"/>
      <c r="BV174" s="1"/>
      <c r="BW174" s="1"/>
      <c r="BX174" s="1"/>
      <c r="BY174" s="1"/>
      <c r="BZ174" s="1"/>
      <c r="CA174" s="1"/>
      <c r="CB174" s="1"/>
      <c r="CC174" s="1"/>
      <c r="CD174" s="1"/>
      <c r="CE174" s="1"/>
      <c r="CF174" s="1"/>
      <c r="CG174" s="1"/>
      <c r="CH174" s="1"/>
      <c r="CI174" s="1"/>
      <c r="CJ174" s="1"/>
      <c r="CK174" s="1"/>
      <c r="CL174" s="1"/>
      <c r="CM174" s="1"/>
      <c r="CN174" s="1"/>
      <c r="CO174" s="1"/>
      <c r="CP174" s="1"/>
    </row>
    <row r="175" ht="11.25" customHeight="1">
      <c r="A175" s="1"/>
      <c r="B175" s="1"/>
      <c r="C175" s="59"/>
      <c r="S175" s="34"/>
      <c r="T175" s="71"/>
      <c r="U175" s="59"/>
      <c r="AK175" s="34"/>
      <c r="AL175" s="71"/>
      <c r="AM175" s="59"/>
      <c r="BC175" s="34"/>
      <c r="BD175" s="1"/>
      <c r="BE175" s="59"/>
      <c r="BU175" s="34"/>
      <c r="BV175" s="1"/>
      <c r="BW175" s="1"/>
      <c r="BX175" s="1"/>
      <c r="BY175" s="1"/>
      <c r="BZ175" s="1"/>
      <c r="CA175" s="1"/>
      <c r="CB175" s="1"/>
      <c r="CC175" s="1"/>
      <c r="CD175" s="1"/>
      <c r="CE175" s="1"/>
      <c r="CF175" s="1"/>
      <c r="CG175" s="1"/>
      <c r="CH175" s="1"/>
      <c r="CI175" s="1"/>
      <c r="CJ175" s="1"/>
      <c r="CK175" s="1"/>
      <c r="CL175" s="1"/>
      <c r="CM175" s="1"/>
      <c r="CN175" s="1"/>
      <c r="CO175" s="1"/>
      <c r="CP175" s="1"/>
    </row>
    <row r="176" ht="11.25" customHeight="1">
      <c r="A176" s="1"/>
      <c r="B176" s="1"/>
      <c r="C176" s="59"/>
      <c r="S176" s="34"/>
      <c r="T176" s="71"/>
      <c r="U176" s="59"/>
      <c r="AK176" s="34"/>
      <c r="AL176" s="71"/>
      <c r="AM176" s="59"/>
      <c r="BC176" s="34"/>
      <c r="BD176" s="1"/>
      <c r="BE176" s="59"/>
      <c r="BU176" s="34"/>
      <c r="BV176" s="1"/>
      <c r="BW176" s="1"/>
      <c r="BX176" s="1"/>
      <c r="BY176" s="1"/>
      <c r="BZ176" s="1"/>
      <c r="CA176" s="1"/>
      <c r="CB176" s="1"/>
      <c r="CC176" s="1"/>
      <c r="CD176" s="1"/>
      <c r="CE176" s="1"/>
      <c r="CF176" s="1"/>
      <c r="CG176" s="1"/>
      <c r="CH176" s="1"/>
      <c r="CI176" s="1"/>
      <c r="CJ176" s="1"/>
      <c r="CK176" s="1"/>
      <c r="CL176" s="1"/>
      <c r="CM176" s="1"/>
      <c r="CN176" s="1"/>
      <c r="CO176" s="1"/>
      <c r="CP176" s="1"/>
    </row>
    <row r="177" ht="11.25" customHeight="1">
      <c r="A177" s="1"/>
      <c r="B177" s="1"/>
      <c r="C177" s="59"/>
      <c r="S177" s="34"/>
      <c r="T177" s="71"/>
      <c r="U177" s="59"/>
      <c r="AK177" s="34"/>
      <c r="AL177" s="71"/>
      <c r="AM177" s="59"/>
      <c r="BC177" s="34"/>
      <c r="BD177" s="1"/>
      <c r="BE177" s="59"/>
      <c r="BU177" s="34"/>
      <c r="BV177" s="1"/>
      <c r="BW177" s="1"/>
      <c r="BX177" s="1"/>
      <c r="BY177" s="1"/>
      <c r="BZ177" s="1"/>
      <c r="CA177" s="1"/>
      <c r="CB177" s="1"/>
      <c r="CC177" s="1"/>
      <c r="CD177" s="1"/>
      <c r="CE177" s="1"/>
      <c r="CF177" s="1"/>
      <c r="CG177" s="1"/>
      <c r="CH177" s="1"/>
      <c r="CI177" s="1"/>
      <c r="CJ177" s="1"/>
      <c r="CK177" s="1"/>
      <c r="CL177" s="1"/>
      <c r="CM177" s="1"/>
      <c r="CN177" s="1"/>
      <c r="CO177" s="1"/>
      <c r="CP177" s="1"/>
    </row>
    <row r="178" ht="11.25" customHeight="1">
      <c r="A178" s="1"/>
      <c r="B178" s="1"/>
      <c r="C178" s="59"/>
      <c r="S178" s="34"/>
      <c r="T178" s="71"/>
      <c r="U178" s="59"/>
      <c r="AK178" s="34"/>
      <c r="AL178" s="71"/>
      <c r="AM178" s="59"/>
      <c r="BC178" s="34"/>
      <c r="BD178" s="1"/>
      <c r="BE178" s="59"/>
      <c r="BU178" s="34"/>
      <c r="BV178" s="1"/>
      <c r="BW178" s="1"/>
      <c r="BX178" s="1"/>
      <c r="BY178" s="1"/>
      <c r="BZ178" s="1"/>
      <c r="CA178" s="1"/>
      <c r="CB178" s="1"/>
      <c r="CC178" s="1"/>
      <c r="CD178" s="1"/>
      <c r="CE178" s="1"/>
      <c r="CF178" s="1"/>
      <c r="CG178" s="1"/>
      <c r="CH178" s="1"/>
      <c r="CI178" s="1"/>
      <c r="CJ178" s="1"/>
      <c r="CK178" s="1"/>
      <c r="CL178" s="1"/>
      <c r="CM178" s="1"/>
      <c r="CN178" s="1"/>
      <c r="CO178" s="1"/>
      <c r="CP178" s="1"/>
    </row>
    <row r="179" ht="11.25" customHeight="1">
      <c r="A179" s="1"/>
      <c r="B179" s="1"/>
      <c r="C179" s="59"/>
      <c r="S179" s="34"/>
      <c r="T179" s="71"/>
      <c r="U179" s="59"/>
      <c r="AK179" s="34"/>
      <c r="AL179" s="71"/>
      <c r="AM179" s="59"/>
      <c r="BC179" s="34"/>
      <c r="BD179" s="1"/>
      <c r="BE179" s="59"/>
      <c r="BU179" s="34"/>
      <c r="BV179" s="1"/>
      <c r="BW179" s="1"/>
      <c r="BX179" s="1"/>
      <c r="BY179" s="1"/>
      <c r="BZ179" s="1"/>
      <c r="CA179" s="1"/>
      <c r="CB179" s="1"/>
      <c r="CC179" s="1"/>
      <c r="CD179" s="1"/>
      <c r="CE179" s="1"/>
      <c r="CF179" s="1"/>
      <c r="CG179" s="1"/>
      <c r="CH179" s="1"/>
      <c r="CI179" s="1"/>
      <c r="CJ179" s="1"/>
      <c r="CK179" s="1"/>
      <c r="CL179" s="1"/>
      <c r="CM179" s="1"/>
      <c r="CN179" s="1"/>
      <c r="CO179" s="1"/>
      <c r="CP179" s="1"/>
    </row>
    <row r="180" ht="11.25" customHeight="1">
      <c r="A180" s="1"/>
      <c r="B180" s="1"/>
      <c r="C180" s="11"/>
      <c r="D180" s="12"/>
      <c r="E180" s="12"/>
      <c r="F180" s="12"/>
      <c r="G180" s="12"/>
      <c r="H180" s="12"/>
      <c r="I180" s="12"/>
      <c r="J180" s="12"/>
      <c r="K180" s="12"/>
      <c r="L180" s="12"/>
      <c r="M180" s="12"/>
      <c r="N180" s="12"/>
      <c r="O180" s="12"/>
      <c r="P180" s="12"/>
      <c r="Q180" s="12"/>
      <c r="R180" s="12"/>
      <c r="S180" s="13"/>
      <c r="T180" s="71"/>
      <c r="U180" s="11"/>
      <c r="V180" s="12"/>
      <c r="W180" s="12"/>
      <c r="X180" s="12"/>
      <c r="Y180" s="12"/>
      <c r="Z180" s="12"/>
      <c r="AA180" s="12"/>
      <c r="AB180" s="12"/>
      <c r="AC180" s="12"/>
      <c r="AD180" s="12"/>
      <c r="AE180" s="12"/>
      <c r="AF180" s="12"/>
      <c r="AG180" s="12"/>
      <c r="AH180" s="12"/>
      <c r="AI180" s="12"/>
      <c r="AJ180" s="12"/>
      <c r="AK180" s="13"/>
      <c r="AL180" s="71"/>
      <c r="AM180" s="11"/>
      <c r="AN180" s="12"/>
      <c r="AO180" s="12"/>
      <c r="AP180" s="12"/>
      <c r="AQ180" s="12"/>
      <c r="AR180" s="12"/>
      <c r="AS180" s="12"/>
      <c r="AT180" s="12"/>
      <c r="AU180" s="12"/>
      <c r="AV180" s="12"/>
      <c r="AW180" s="12"/>
      <c r="AX180" s="12"/>
      <c r="AY180" s="12"/>
      <c r="AZ180" s="12"/>
      <c r="BA180" s="12"/>
      <c r="BB180" s="12"/>
      <c r="BC180" s="13"/>
      <c r="BD180" s="1"/>
      <c r="BE180" s="11"/>
      <c r="BF180" s="12"/>
      <c r="BG180" s="12"/>
      <c r="BH180" s="12"/>
      <c r="BI180" s="12"/>
      <c r="BJ180" s="12"/>
      <c r="BK180" s="12"/>
      <c r="BL180" s="12"/>
      <c r="BM180" s="12"/>
      <c r="BN180" s="12"/>
      <c r="BO180" s="12"/>
      <c r="BP180" s="12"/>
      <c r="BQ180" s="12"/>
      <c r="BR180" s="12"/>
      <c r="BS180" s="12"/>
      <c r="BT180" s="12"/>
      <c r="BU180" s="13"/>
      <c r="BV180" s="1"/>
      <c r="BW180" s="1"/>
      <c r="BX180" s="1"/>
      <c r="BY180" s="1"/>
      <c r="BZ180" s="1"/>
      <c r="CA180" s="1"/>
      <c r="CB180" s="1"/>
      <c r="CC180" s="1"/>
      <c r="CD180" s="1"/>
      <c r="CE180" s="1"/>
      <c r="CF180" s="1"/>
      <c r="CG180" s="1"/>
      <c r="CH180" s="1"/>
      <c r="CI180" s="1"/>
      <c r="CJ180" s="1"/>
      <c r="CK180" s="1"/>
      <c r="CL180" s="1"/>
      <c r="CM180" s="1"/>
      <c r="CN180" s="1"/>
      <c r="CO180" s="1"/>
      <c r="CP180" s="1"/>
    </row>
    <row r="181" ht="11.25" customHeight="1">
      <c r="A181" s="1"/>
      <c r="B181" s="1"/>
      <c r="C181" s="1"/>
      <c r="D181" s="1"/>
      <c r="E181" s="1"/>
      <c r="F181" s="1"/>
      <c r="G181" s="1"/>
      <c r="H181" s="1"/>
      <c r="I181" s="1"/>
      <c r="J181" s="1"/>
      <c r="K181" s="1"/>
      <c r="L181" s="1"/>
      <c r="M181" s="1"/>
      <c r="N181" s="1"/>
      <c r="O181" s="1"/>
      <c r="P181" s="1"/>
      <c r="Q181" s="1"/>
      <c r="R181" s="20" t="s">
        <v>48</v>
      </c>
      <c r="T181" s="1"/>
      <c r="U181" s="1"/>
      <c r="V181" s="1"/>
      <c r="W181" s="1"/>
      <c r="X181" s="1"/>
      <c r="Y181" s="1"/>
      <c r="Z181" s="1"/>
      <c r="AA181" s="1"/>
      <c r="AB181" s="1"/>
      <c r="AC181" s="1"/>
      <c r="AD181" s="1"/>
      <c r="AE181" s="1"/>
      <c r="AF181" s="1"/>
      <c r="AG181" s="1"/>
      <c r="AH181" s="1"/>
      <c r="AI181" s="1"/>
      <c r="AJ181" s="20" t="s">
        <v>48</v>
      </c>
      <c r="AL181" s="1"/>
      <c r="AM181" s="1"/>
      <c r="AN181" s="1"/>
      <c r="AO181" s="1"/>
      <c r="AP181" s="1"/>
      <c r="AQ181" s="1"/>
      <c r="AR181" s="1"/>
      <c r="AS181" s="1"/>
      <c r="AT181" s="1"/>
      <c r="AU181" s="1"/>
      <c r="AV181" s="1"/>
      <c r="AW181" s="1"/>
      <c r="AX181" s="1"/>
      <c r="AY181" s="1"/>
      <c r="AZ181" s="1"/>
      <c r="BA181" s="1"/>
      <c r="BB181" s="20" t="s">
        <v>48</v>
      </c>
      <c r="BD181" s="1"/>
      <c r="BE181" s="1"/>
      <c r="BF181" s="1"/>
      <c r="BG181" s="1"/>
      <c r="BH181" s="1"/>
      <c r="BI181" s="1"/>
      <c r="BJ181" s="1"/>
      <c r="BK181" s="1"/>
      <c r="BL181" s="1"/>
      <c r="BM181" s="1"/>
      <c r="BN181" s="1"/>
      <c r="BO181" s="1"/>
      <c r="BP181" s="1"/>
      <c r="BQ181" s="1"/>
      <c r="BR181" s="1"/>
      <c r="BS181" s="1"/>
      <c r="BT181" s="20" t="s">
        <v>48</v>
      </c>
      <c r="BV181" s="1"/>
      <c r="BW181" s="1"/>
      <c r="BX181" s="1"/>
      <c r="BY181" s="1"/>
      <c r="BZ181" s="1"/>
      <c r="CA181" s="1"/>
      <c r="CB181" s="1"/>
      <c r="CC181" s="1"/>
      <c r="CD181" s="1"/>
      <c r="CE181" s="1"/>
      <c r="CF181" s="1"/>
      <c r="CG181" s="1"/>
      <c r="CH181" s="1"/>
      <c r="CI181" s="1"/>
      <c r="CJ181" s="1"/>
      <c r="CK181" s="1"/>
      <c r="CL181" s="1"/>
      <c r="CM181" s="1"/>
      <c r="CN181" s="1"/>
      <c r="CO181" s="1"/>
      <c r="CP181" s="1"/>
    </row>
    <row r="182" ht="11.25" customHeight="1">
      <c r="A182" s="1"/>
      <c r="B182" s="1"/>
      <c r="C182" s="4" t="s">
        <v>184</v>
      </c>
      <c r="D182" s="5"/>
      <c r="E182" s="5"/>
      <c r="F182" s="5"/>
      <c r="G182" s="5"/>
      <c r="H182" s="5"/>
      <c r="I182" s="5"/>
      <c r="J182" s="5"/>
      <c r="K182" s="5"/>
      <c r="L182" s="5"/>
      <c r="M182" s="5"/>
      <c r="N182" s="5"/>
      <c r="O182" s="5"/>
      <c r="P182" s="5"/>
      <c r="Q182" s="6"/>
      <c r="R182" s="4">
        <f>SWITCH(C$148,"Fast Track",6,"Slow Track",8,7)</f>
        <v>6</v>
      </c>
      <c r="S182" s="6"/>
      <c r="T182" s="1"/>
      <c r="U182" s="4" t="s">
        <v>184</v>
      </c>
      <c r="V182" s="5"/>
      <c r="W182" s="5"/>
      <c r="X182" s="5"/>
      <c r="Y182" s="5"/>
      <c r="Z182" s="5"/>
      <c r="AA182" s="5"/>
      <c r="AB182" s="5"/>
      <c r="AC182" s="5"/>
      <c r="AD182" s="5"/>
      <c r="AE182" s="5"/>
      <c r="AF182" s="5"/>
      <c r="AG182" s="5"/>
      <c r="AH182" s="5"/>
      <c r="AI182" s="6"/>
      <c r="AJ182" s="4">
        <f>SWITCH(U$148,"Fast Track",6,"Slow Track",8,7)</f>
        <v>7</v>
      </c>
      <c r="AK182" s="6"/>
      <c r="AL182" s="1"/>
      <c r="AM182" s="4" t="s">
        <v>184</v>
      </c>
      <c r="AN182" s="5"/>
      <c r="AO182" s="5"/>
      <c r="AP182" s="5"/>
      <c r="AQ182" s="5"/>
      <c r="AR182" s="5"/>
      <c r="AS182" s="5"/>
      <c r="AT182" s="5"/>
      <c r="AU182" s="5"/>
      <c r="AV182" s="5"/>
      <c r="AW182" s="5"/>
      <c r="AX182" s="5"/>
      <c r="AY182" s="5"/>
      <c r="AZ182" s="5"/>
      <c r="BA182" s="6"/>
      <c r="BB182" s="4">
        <f>SWITCH(AM$148,"Fast Track",6,"Slow Track",8,7)</f>
        <v>8</v>
      </c>
      <c r="BC182" s="6"/>
      <c r="BD182" s="1"/>
      <c r="BE182" s="4" t="s">
        <v>184</v>
      </c>
      <c r="BF182" s="5"/>
      <c r="BG182" s="5"/>
      <c r="BH182" s="5"/>
      <c r="BI182" s="5"/>
      <c r="BJ182" s="5"/>
      <c r="BK182" s="5"/>
      <c r="BL182" s="5"/>
      <c r="BM182" s="5"/>
      <c r="BN182" s="5"/>
      <c r="BO182" s="5"/>
      <c r="BP182" s="5"/>
      <c r="BQ182" s="5"/>
      <c r="BR182" s="5"/>
      <c r="BS182" s="6"/>
      <c r="BT182" s="4">
        <f>SWITCH(BE$148,"Fast Track",6,"Slow Track",8,7)</f>
        <v>7</v>
      </c>
      <c r="BU182" s="6"/>
      <c r="BV182" s="1"/>
      <c r="BW182" s="1"/>
      <c r="BX182" s="1"/>
      <c r="BY182" s="1"/>
      <c r="BZ182" s="1"/>
      <c r="CA182" s="1"/>
      <c r="CB182" s="1"/>
      <c r="CC182" s="1"/>
      <c r="CD182" s="1"/>
      <c r="CE182" s="1"/>
      <c r="CF182" s="1"/>
      <c r="CG182" s="1"/>
      <c r="CH182" s="1"/>
      <c r="CI182" s="1"/>
      <c r="CJ182" s="1"/>
      <c r="CK182" s="1"/>
      <c r="CL182" s="1"/>
      <c r="CM182" s="1"/>
      <c r="CN182" s="1"/>
      <c r="CO182" s="1"/>
      <c r="CP182" s="1"/>
    </row>
    <row r="183" ht="11.25" customHeight="1">
      <c r="A183" s="1"/>
      <c r="B183" s="1"/>
      <c r="C183" s="11"/>
      <c r="D183" s="12"/>
      <c r="E183" s="12"/>
      <c r="F183" s="12"/>
      <c r="G183" s="12"/>
      <c r="H183" s="12"/>
      <c r="I183" s="12"/>
      <c r="J183" s="12"/>
      <c r="K183" s="12"/>
      <c r="L183" s="12"/>
      <c r="M183" s="12"/>
      <c r="N183" s="12"/>
      <c r="O183" s="12"/>
      <c r="P183" s="12"/>
      <c r="Q183" s="13"/>
      <c r="R183" s="11"/>
      <c r="S183" s="13"/>
      <c r="T183" s="1"/>
      <c r="U183" s="11"/>
      <c r="V183" s="12"/>
      <c r="W183" s="12"/>
      <c r="X183" s="12"/>
      <c r="Y183" s="12"/>
      <c r="Z183" s="12"/>
      <c r="AA183" s="12"/>
      <c r="AB183" s="12"/>
      <c r="AC183" s="12"/>
      <c r="AD183" s="12"/>
      <c r="AE183" s="12"/>
      <c r="AF183" s="12"/>
      <c r="AG183" s="12"/>
      <c r="AH183" s="12"/>
      <c r="AI183" s="13"/>
      <c r="AJ183" s="11"/>
      <c r="AK183" s="13"/>
      <c r="AL183" s="1"/>
      <c r="AM183" s="11"/>
      <c r="AN183" s="12"/>
      <c r="AO183" s="12"/>
      <c r="AP183" s="12"/>
      <c r="AQ183" s="12"/>
      <c r="AR183" s="12"/>
      <c r="AS183" s="12"/>
      <c r="AT183" s="12"/>
      <c r="AU183" s="12"/>
      <c r="AV183" s="12"/>
      <c r="AW183" s="12"/>
      <c r="AX183" s="12"/>
      <c r="AY183" s="12"/>
      <c r="AZ183" s="12"/>
      <c r="BA183" s="13"/>
      <c r="BB183" s="11"/>
      <c r="BC183" s="13"/>
      <c r="BD183" s="1"/>
      <c r="BE183" s="11"/>
      <c r="BF183" s="12"/>
      <c r="BG183" s="12"/>
      <c r="BH183" s="12"/>
      <c r="BI183" s="12"/>
      <c r="BJ183" s="12"/>
      <c r="BK183" s="12"/>
      <c r="BL183" s="12"/>
      <c r="BM183" s="12"/>
      <c r="BN183" s="12"/>
      <c r="BO183" s="12"/>
      <c r="BP183" s="12"/>
      <c r="BQ183" s="12"/>
      <c r="BR183" s="12"/>
      <c r="BS183" s="13"/>
      <c r="BT183" s="11"/>
      <c r="BU183" s="13"/>
      <c r="BV183" s="1"/>
      <c r="BW183" s="1"/>
      <c r="BX183" s="1"/>
      <c r="BY183" s="1"/>
      <c r="BZ183" s="1"/>
      <c r="CA183" s="1"/>
      <c r="CB183" s="1"/>
      <c r="CC183" s="1"/>
      <c r="CD183" s="1"/>
      <c r="CE183" s="1"/>
      <c r="CF183" s="1"/>
      <c r="CG183" s="1"/>
      <c r="CH183" s="1"/>
      <c r="CI183" s="1"/>
      <c r="CJ183" s="1"/>
      <c r="CK183" s="1"/>
      <c r="CL183" s="1"/>
      <c r="CM183" s="1"/>
      <c r="CN183" s="1"/>
      <c r="CO183" s="1"/>
      <c r="CP183" s="1"/>
    </row>
    <row r="184" ht="11.25" customHeight="1">
      <c r="A184" s="1"/>
      <c r="B184" s="1"/>
      <c r="C184" s="25" t="str">
        <f>IF($AC$9&gt;=R$182,"Readiness","")</f>
        <v/>
      </c>
      <c r="D184" s="5"/>
      <c r="E184" s="5"/>
      <c r="F184" s="5"/>
      <c r="G184" s="5"/>
      <c r="H184" s="5"/>
      <c r="I184" s="5"/>
      <c r="J184" s="5"/>
      <c r="K184" s="5"/>
      <c r="L184" s="5"/>
      <c r="M184" s="5"/>
      <c r="N184" s="5"/>
      <c r="O184" s="5"/>
      <c r="P184" s="5"/>
      <c r="Q184" s="5"/>
      <c r="R184" s="5"/>
      <c r="S184" s="6"/>
      <c r="T184" s="1"/>
      <c r="U184" s="73" t="str">
        <f>IF($AC$9&gt;=AJ182,"Hungry Like the Wolf","")</f>
        <v/>
      </c>
      <c r="V184" s="5"/>
      <c r="W184" s="5"/>
      <c r="X184" s="5"/>
      <c r="Y184" s="5"/>
      <c r="Z184" s="5"/>
      <c r="AA184" s="5"/>
      <c r="AB184" s="5"/>
      <c r="AC184" s="5"/>
      <c r="AD184" s="5"/>
      <c r="AE184" s="5"/>
      <c r="AF184" s="5"/>
      <c r="AG184" s="5"/>
      <c r="AH184" s="5"/>
      <c r="AI184" s="5"/>
      <c r="AJ184" s="5"/>
      <c r="AK184" s="6"/>
      <c r="AL184" s="1"/>
      <c r="AM184" s="46" t="str">
        <f>IF($AC$9&gt;=BB182,"Stance of the Falling Star","")</f>
        <v/>
      </c>
      <c r="AN184" s="5"/>
      <c r="AO184" s="5"/>
      <c r="AP184" s="5"/>
      <c r="AQ184" s="5"/>
      <c r="AR184" s="5"/>
      <c r="AS184" s="5"/>
      <c r="AT184" s="5"/>
      <c r="AU184" s="5"/>
      <c r="AV184" s="5"/>
      <c r="AW184" s="5"/>
      <c r="AX184" s="5"/>
      <c r="AY184" s="5"/>
      <c r="AZ184" s="5"/>
      <c r="BA184" s="5"/>
      <c r="BB184" s="5"/>
      <c r="BC184" s="6"/>
      <c r="BD184" s="1"/>
      <c r="BE184" s="73" t="str">
        <f>IF($AC$9&gt;=BT182,"Will of the Elements","")</f>
        <v/>
      </c>
      <c r="BF184" s="5"/>
      <c r="BG184" s="5"/>
      <c r="BH184" s="5"/>
      <c r="BI184" s="5"/>
      <c r="BJ184" s="5"/>
      <c r="BK184" s="5"/>
      <c r="BL184" s="5"/>
      <c r="BM184" s="5"/>
      <c r="BN184" s="5"/>
      <c r="BO184" s="5"/>
      <c r="BP184" s="5"/>
      <c r="BQ184" s="5"/>
      <c r="BR184" s="5"/>
      <c r="BS184" s="5"/>
      <c r="BT184" s="5"/>
      <c r="BU184" s="6"/>
      <c r="BV184" s="1"/>
      <c r="BW184" s="1"/>
      <c r="BX184" s="1"/>
      <c r="BY184" s="1"/>
      <c r="BZ184" s="1"/>
      <c r="CA184" s="1"/>
      <c r="CB184" s="1"/>
      <c r="CC184" s="1"/>
      <c r="CD184" s="1"/>
      <c r="CE184" s="1"/>
      <c r="CF184" s="1"/>
      <c r="CG184" s="1"/>
      <c r="CH184" s="1"/>
      <c r="CI184" s="1"/>
      <c r="CJ184" s="1"/>
      <c r="CK184" s="1"/>
      <c r="CL184" s="1"/>
      <c r="CM184" s="1"/>
      <c r="CN184" s="1"/>
      <c r="CO184" s="1"/>
      <c r="CP184" s="1"/>
    </row>
    <row r="185" ht="11.25" customHeight="1">
      <c r="A185" s="1"/>
      <c r="B185" s="1"/>
      <c r="C185" s="11"/>
      <c r="D185" s="12"/>
      <c r="E185" s="12"/>
      <c r="F185" s="12"/>
      <c r="G185" s="12"/>
      <c r="H185" s="12"/>
      <c r="I185" s="12"/>
      <c r="J185" s="12"/>
      <c r="K185" s="12"/>
      <c r="L185" s="12"/>
      <c r="M185" s="12"/>
      <c r="N185" s="12"/>
      <c r="O185" s="12"/>
      <c r="P185" s="12"/>
      <c r="Q185" s="12"/>
      <c r="R185" s="12"/>
      <c r="S185" s="13"/>
      <c r="T185" s="1"/>
      <c r="U185" s="11"/>
      <c r="V185" s="12"/>
      <c r="W185" s="12"/>
      <c r="X185" s="12"/>
      <c r="Y185" s="12"/>
      <c r="Z185" s="12"/>
      <c r="AA185" s="12"/>
      <c r="AB185" s="12"/>
      <c r="AC185" s="12"/>
      <c r="AD185" s="12"/>
      <c r="AE185" s="12"/>
      <c r="AF185" s="12"/>
      <c r="AG185" s="12"/>
      <c r="AH185" s="12"/>
      <c r="AI185" s="12"/>
      <c r="AJ185" s="12"/>
      <c r="AK185" s="13"/>
      <c r="AL185" s="1"/>
      <c r="AM185" s="11"/>
      <c r="AN185" s="12"/>
      <c r="AO185" s="12"/>
      <c r="AP185" s="12"/>
      <c r="AQ185" s="12"/>
      <c r="AR185" s="12"/>
      <c r="AS185" s="12"/>
      <c r="AT185" s="12"/>
      <c r="AU185" s="12"/>
      <c r="AV185" s="12"/>
      <c r="AW185" s="12"/>
      <c r="AX185" s="12"/>
      <c r="AY185" s="12"/>
      <c r="AZ185" s="12"/>
      <c r="BA185" s="12"/>
      <c r="BB185" s="12"/>
      <c r="BC185" s="13"/>
      <c r="BD185" s="1"/>
      <c r="BE185" s="11"/>
      <c r="BF185" s="12"/>
      <c r="BG185" s="12"/>
      <c r="BH185" s="12"/>
      <c r="BI185" s="12"/>
      <c r="BJ185" s="12"/>
      <c r="BK185" s="12"/>
      <c r="BL185" s="12"/>
      <c r="BM185" s="12"/>
      <c r="BN185" s="12"/>
      <c r="BO185" s="12"/>
      <c r="BP185" s="12"/>
      <c r="BQ185" s="12"/>
      <c r="BR185" s="12"/>
      <c r="BS185" s="12"/>
      <c r="BT185" s="12"/>
      <c r="BU185" s="13"/>
      <c r="BV185" s="1"/>
      <c r="BW185" s="1"/>
      <c r="BX185" s="1"/>
      <c r="BY185" s="1"/>
      <c r="BZ185" s="1"/>
      <c r="CA185" s="1"/>
      <c r="CB185" s="1"/>
      <c r="CC185" s="1"/>
      <c r="CD185" s="1"/>
      <c r="CE185" s="1"/>
      <c r="CF185" s="1"/>
      <c r="CG185" s="1"/>
      <c r="CH185" s="1"/>
      <c r="CI185" s="1"/>
      <c r="CJ185" s="1"/>
      <c r="CK185" s="1"/>
      <c r="CL185" s="1"/>
      <c r="CM185" s="1"/>
      <c r="CN185" s="1"/>
      <c r="CO185" s="1"/>
      <c r="CP185" s="1"/>
    </row>
    <row r="186" ht="11.25" customHeight="1">
      <c r="A186" s="1"/>
      <c r="B186" s="1"/>
      <c r="C186" s="70" t="str">
        <f>IF($AC$9&gt;=R$182,CONCATENATE("+2 Vigor",char(10),"Can act while [Flat-footed]",char(10),"1/[Round]: Make a Vigor check without an action"),"")</f>
        <v/>
      </c>
      <c r="S186" s="34"/>
      <c r="T186" s="71"/>
      <c r="U186" s="70" t="str">
        <f>IF($AC$9&gt;=AJ$182,CONCATENATE("[Fast healing] ",$W$38,char(10),"1/[Round]: On a hit on a Percieved opponent, Fort or the target is [Slowed] for one [Round]"),"")</f>
        <v/>
      </c>
      <c r="AK186" s="34"/>
      <c r="AL186" s="71"/>
      <c r="AM186" s="72" t="str">
        <f>IF($AC$9&gt;=BB182,CONCATENATE("[Prone] [Immunity]",char(10),"SWIFT: Become [Covered] (+2 AC) for one [Round]"),"")</f>
        <v/>
      </c>
      <c r="AN186" s="5"/>
      <c r="AO186" s="5"/>
      <c r="AP186" s="5"/>
      <c r="AQ186" s="5"/>
      <c r="AR186" s="5"/>
      <c r="AS186" s="5"/>
      <c r="AT186" s="5"/>
      <c r="AU186" s="5"/>
      <c r="AV186" s="5"/>
      <c r="AW186" s="5"/>
      <c r="AX186" s="5"/>
      <c r="AY186" s="5"/>
      <c r="AZ186" s="5"/>
      <c r="BA186" s="5"/>
      <c r="BB186" s="5"/>
      <c r="BC186" s="6"/>
      <c r="BD186" s="1"/>
      <c r="BE186" s="70" t="str">
        <f>IF($AC$9&gt;=BT$182,CONCATENATE("On turn start, gain a Song Shield",char(10),"On taking damage, gain [Lesser resistance] per SS, lose one SS",char(10),"1/[Encounter] SWIFT: Gain a Truename for the [Encounter] for a creature within [Close] range"),"")</f>
        <v/>
      </c>
      <c r="BU186" s="34"/>
      <c r="BV186" s="1"/>
      <c r="BW186" s="1"/>
      <c r="BX186" s="1"/>
      <c r="BY186" s="1"/>
      <c r="BZ186" s="1"/>
      <c r="CA186" s="1"/>
      <c r="CB186" s="1"/>
      <c r="CC186" s="1"/>
      <c r="CD186" s="1"/>
      <c r="CE186" s="1"/>
      <c r="CF186" s="1"/>
      <c r="CG186" s="1"/>
      <c r="CH186" s="1"/>
      <c r="CI186" s="1"/>
      <c r="CJ186" s="1"/>
      <c r="CK186" s="1"/>
      <c r="CL186" s="1"/>
      <c r="CM186" s="1"/>
      <c r="CN186" s="1"/>
      <c r="CO186" s="1"/>
      <c r="CP186" s="1"/>
    </row>
    <row r="187" ht="11.25" customHeight="1">
      <c r="A187" s="1"/>
      <c r="B187" s="1"/>
      <c r="C187" s="59"/>
      <c r="S187" s="34"/>
      <c r="T187" s="71"/>
      <c r="U187" s="59"/>
      <c r="AK187" s="34"/>
      <c r="AL187" s="71"/>
      <c r="AM187" s="59"/>
      <c r="BC187" s="34"/>
      <c r="BD187" s="1"/>
      <c r="BE187" s="59"/>
      <c r="BU187" s="34"/>
      <c r="BV187" s="1"/>
      <c r="BW187" s="1"/>
      <c r="BX187" s="1"/>
      <c r="BY187" s="1"/>
      <c r="BZ187" s="1"/>
      <c r="CA187" s="1"/>
      <c r="CB187" s="1"/>
      <c r="CC187" s="1"/>
      <c r="CD187" s="1"/>
      <c r="CE187" s="1"/>
      <c r="CF187" s="1"/>
      <c r="CG187" s="1"/>
      <c r="CH187" s="1"/>
      <c r="CI187" s="1"/>
      <c r="CJ187" s="1"/>
      <c r="CK187" s="1"/>
      <c r="CL187" s="1"/>
      <c r="CM187" s="1"/>
      <c r="CN187" s="1"/>
      <c r="CO187" s="1"/>
      <c r="CP187" s="1"/>
    </row>
    <row r="188" ht="11.25" customHeight="1">
      <c r="A188" s="1"/>
      <c r="B188" s="1"/>
      <c r="C188" s="59"/>
      <c r="S188" s="34"/>
      <c r="T188" s="71"/>
      <c r="U188" s="59"/>
      <c r="AK188" s="34"/>
      <c r="AL188" s="71"/>
      <c r="AM188" s="59"/>
      <c r="BC188" s="34"/>
      <c r="BD188" s="1"/>
      <c r="BE188" s="59"/>
      <c r="BU188" s="34"/>
      <c r="BV188" s="1"/>
      <c r="BW188" s="1"/>
      <c r="BX188" s="1"/>
      <c r="BY188" s="1"/>
      <c r="BZ188" s="1"/>
      <c r="CA188" s="1"/>
      <c r="CB188" s="1"/>
      <c r="CC188" s="1"/>
      <c r="CD188" s="1"/>
      <c r="CE188" s="1"/>
      <c r="CF188" s="1"/>
      <c r="CG188" s="1"/>
      <c r="CH188" s="1"/>
      <c r="CI188" s="1"/>
      <c r="CJ188" s="1"/>
      <c r="CK188" s="1"/>
      <c r="CL188" s="1"/>
      <c r="CM188" s="1"/>
      <c r="CN188" s="1"/>
      <c r="CO188" s="1"/>
      <c r="CP188" s="1"/>
    </row>
    <row r="189" ht="11.25" customHeight="1">
      <c r="A189" s="1"/>
      <c r="B189" s="1"/>
      <c r="C189" s="59"/>
      <c r="S189" s="34"/>
      <c r="T189" s="71"/>
      <c r="U189" s="59"/>
      <c r="AK189" s="34"/>
      <c r="AL189" s="71"/>
      <c r="AM189" s="59"/>
      <c r="BC189" s="34"/>
      <c r="BD189" s="1"/>
      <c r="BE189" s="59"/>
      <c r="BU189" s="34"/>
      <c r="BV189" s="1"/>
      <c r="BW189" s="1"/>
      <c r="BX189" s="1"/>
      <c r="BY189" s="1"/>
      <c r="BZ189" s="1"/>
      <c r="CA189" s="1"/>
      <c r="CB189" s="1"/>
      <c r="CC189" s="1"/>
      <c r="CD189" s="1"/>
      <c r="CE189" s="1"/>
      <c r="CF189" s="1"/>
      <c r="CG189" s="1"/>
      <c r="CH189" s="1"/>
      <c r="CI189" s="1"/>
      <c r="CJ189" s="1"/>
      <c r="CK189" s="1"/>
      <c r="CL189" s="1"/>
      <c r="CM189" s="1"/>
      <c r="CN189" s="1"/>
      <c r="CO189" s="1"/>
      <c r="CP189" s="1"/>
    </row>
    <row r="190" ht="11.25" customHeight="1">
      <c r="A190" s="1"/>
      <c r="B190" s="1"/>
      <c r="C190" s="59"/>
      <c r="S190" s="34"/>
      <c r="T190" s="71"/>
      <c r="U190" s="59"/>
      <c r="AK190" s="34"/>
      <c r="AL190" s="71"/>
      <c r="AM190" s="59"/>
      <c r="BC190" s="34"/>
      <c r="BD190" s="1"/>
      <c r="BE190" s="59"/>
      <c r="BU190" s="34"/>
      <c r="BV190" s="1"/>
      <c r="BW190" s="1"/>
      <c r="BX190" s="1"/>
      <c r="BY190" s="1"/>
      <c r="BZ190" s="1"/>
      <c r="CA190" s="1"/>
      <c r="CB190" s="1"/>
      <c r="CC190" s="1"/>
      <c r="CD190" s="1"/>
      <c r="CE190" s="1"/>
      <c r="CF190" s="1"/>
      <c r="CG190" s="1"/>
      <c r="CH190" s="1"/>
      <c r="CI190" s="1"/>
      <c r="CJ190" s="1"/>
      <c r="CK190" s="1"/>
      <c r="CL190" s="1"/>
      <c r="CM190" s="1"/>
      <c r="CN190" s="1"/>
      <c r="CO190" s="1"/>
      <c r="CP190" s="1"/>
    </row>
    <row r="191" ht="11.25" customHeight="1">
      <c r="A191" s="1"/>
      <c r="B191" s="1"/>
      <c r="C191" s="59"/>
      <c r="S191" s="34"/>
      <c r="T191" s="71"/>
      <c r="U191" s="59"/>
      <c r="AK191" s="34"/>
      <c r="AL191" s="71"/>
      <c r="AM191" s="59"/>
      <c r="BC191" s="34"/>
      <c r="BD191" s="1"/>
      <c r="BE191" s="59"/>
      <c r="BU191" s="34"/>
      <c r="BV191" s="1"/>
      <c r="BW191" s="1"/>
      <c r="BX191" s="1"/>
      <c r="BY191" s="1"/>
      <c r="BZ191" s="1"/>
      <c r="CA191" s="1"/>
      <c r="CB191" s="1"/>
      <c r="CC191" s="1"/>
      <c r="CD191" s="1"/>
      <c r="CE191" s="1"/>
      <c r="CF191" s="1"/>
      <c r="CG191" s="1"/>
      <c r="CH191" s="1"/>
      <c r="CI191" s="1"/>
      <c r="CJ191" s="1"/>
      <c r="CK191" s="1"/>
      <c r="CL191" s="1"/>
      <c r="CM191" s="1"/>
      <c r="CN191" s="1"/>
      <c r="CO191" s="1"/>
      <c r="CP191" s="1"/>
    </row>
    <row r="192" ht="11.25" customHeight="1">
      <c r="A192" s="1"/>
      <c r="B192" s="1"/>
      <c r="C192" s="59"/>
      <c r="S192" s="34"/>
      <c r="T192" s="71"/>
      <c r="U192" s="59"/>
      <c r="AK192" s="34"/>
      <c r="AL192" s="71"/>
      <c r="AM192" s="59"/>
      <c r="BC192" s="34"/>
      <c r="BD192" s="1"/>
      <c r="BE192" s="59"/>
      <c r="BU192" s="34"/>
      <c r="BV192" s="1"/>
      <c r="BW192" s="1"/>
      <c r="BX192" s="1"/>
      <c r="BY192" s="1"/>
      <c r="BZ192" s="1"/>
      <c r="CA192" s="1"/>
      <c r="CB192" s="1"/>
      <c r="CC192" s="1"/>
      <c r="CD192" s="1"/>
      <c r="CE192" s="1"/>
      <c r="CF192" s="1"/>
      <c r="CG192" s="1"/>
      <c r="CH192" s="1"/>
      <c r="CI192" s="1"/>
      <c r="CJ192" s="1"/>
      <c r="CK192" s="1"/>
      <c r="CL192" s="1"/>
      <c r="CM192" s="1"/>
      <c r="CN192" s="1"/>
      <c r="CO192" s="1"/>
      <c r="CP192" s="1"/>
    </row>
    <row r="193" ht="11.25" customHeight="1">
      <c r="A193" s="1"/>
      <c r="B193" s="1"/>
      <c r="C193" s="11"/>
      <c r="D193" s="12"/>
      <c r="E193" s="12"/>
      <c r="F193" s="12"/>
      <c r="G193" s="12"/>
      <c r="H193" s="12"/>
      <c r="I193" s="12"/>
      <c r="J193" s="12"/>
      <c r="K193" s="12"/>
      <c r="L193" s="12"/>
      <c r="M193" s="12"/>
      <c r="N193" s="12"/>
      <c r="O193" s="12"/>
      <c r="P193" s="12"/>
      <c r="Q193" s="12"/>
      <c r="R193" s="12"/>
      <c r="S193" s="13"/>
      <c r="T193" s="71"/>
      <c r="U193" s="11"/>
      <c r="V193" s="12"/>
      <c r="W193" s="12"/>
      <c r="X193" s="12"/>
      <c r="Y193" s="12"/>
      <c r="Z193" s="12"/>
      <c r="AA193" s="12"/>
      <c r="AB193" s="12"/>
      <c r="AC193" s="12"/>
      <c r="AD193" s="12"/>
      <c r="AE193" s="12"/>
      <c r="AF193" s="12"/>
      <c r="AG193" s="12"/>
      <c r="AH193" s="12"/>
      <c r="AI193" s="12"/>
      <c r="AJ193" s="12"/>
      <c r="AK193" s="13"/>
      <c r="AL193" s="71"/>
      <c r="AM193" s="11"/>
      <c r="AN193" s="12"/>
      <c r="AO193" s="12"/>
      <c r="AP193" s="12"/>
      <c r="AQ193" s="12"/>
      <c r="AR193" s="12"/>
      <c r="AS193" s="12"/>
      <c r="AT193" s="12"/>
      <c r="AU193" s="12"/>
      <c r="AV193" s="12"/>
      <c r="AW193" s="12"/>
      <c r="AX193" s="12"/>
      <c r="AY193" s="12"/>
      <c r="AZ193" s="12"/>
      <c r="BA193" s="12"/>
      <c r="BB193" s="12"/>
      <c r="BC193" s="13"/>
      <c r="BD193" s="1"/>
      <c r="BE193" s="11"/>
      <c r="BF193" s="12"/>
      <c r="BG193" s="12"/>
      <c r="BH193" s="12"/>
      <c r="BI193" s="12"/>
      <c r="BJ193" s="12"/>
      <c r="BK193" s="12"/>
      <c r="BL193" s="12"/>
      <c r="BM193" s="12"/>
      <c r="BN193" s="12"/>
      <c r="BO193" s="12"/>
      <c r="BP193" s="12"/>
      <c r="BQ193" s="12"/>
      <c r="BR193" s="12"/>
      <c r="BS193" s="12"/>
      <c r="BT193" s="12"/>
      <c r="BU193" s="13"/>
      <c r="BV193" s="1"/>
      <c r="BW193" s="1"/>
      <c r="BX193" s="1"/>
      <c r="BY193" s="1"/>
      <c r="BZ193" s="1"/>
      <c r="CA193" s="1"/>
      <c r="CB193" s="1"/>
      <c r="CC193" s="1"/>
      <c r="CD193" s="1"/>
      <c r="CE193" s="1"/>
      <c r="CF193" s="1"/>
      <c r="CG193" s="1"/>
      <c r="CH193" s="1"/>
      <c r="CI193" s="1"/>
      <c r="CJ193" s="1"/>
      <c r="CK193" s="1"/>
      <c r="CL193" s="1"/>
      <c r="CM193" s="1"/>
      <c r="CN193" s="1"/>
      <c r="CO193" s="1"/>
      <c r="CP193" s="1"/>
    </row>
    <row r="194" ht="11.25" customHeight="1">
      <c r="A194" s="1"/>
      <c r="B194" s="1"/>
      <c r="C194" s="1"/>
      <c r="D194" s="1"/>
      <c r="E194" s="1"/>
      <c r="F194" s="1"/>
      <c r="G194" s="1"/>
      <c r="H194" s="1"/>
      <c r="I194" s="1"/>
      <c r="J194" s="1"/>
      <c r="K194" s="1"/>
      <c r="L194" s="1"/>
      <c r="M194" s="1"/>
      <c r="N194" s="1"/>
      <c r="O194" s="1"/>
      <c r="P194" s="1"/>
      <c r="Q194" s="1"/>
      <c r="R194" s="20" t="s">
        <v>48</v>
      </c>
      <c r="T194" s="1"/>
      <c r="U194" s="1"/>
      <c r="V194" s="1"/>
      <c r="W194" s="1"/>
      <c r="X194" s="1"/>
      <c r="Y194" s="1"/>
      <c r="Z194" s="1"/>
      <c r="AA194" s="1"/>
      <c r="AB194" s="1"/>
      <c r="AC194" s="1"/>
      <c r="AD194" s="1"/>
      <c r="AE194" s="1"/>
      <c r="AF194" s="1"/>
      <c r="AG194" s="1"/>
      <c r="AH194" s="1"/>
      <c r="AI194" s="1"/>
      <c r="AJ194" s="20" t="s">
        <v>48</v>
      </c>
      <c r="AL194" s="1"/>
      <c r="AM194" s="1"/>
      <c r="AN194" s="1"/>
      <c r="AO194" s="1"/>
      <c r="AP194" s="1"/>
      <c r="AQ194" s="1"/>
      <c r="AR194" s="1"/>
      <c r="AS194" s="1"/>
      <c r="AT194" s="1"/>
      <c r="AU194" s="1"/>
      <c r="AV194" s="1"/>
      <c r="AW194" s="1"/>
      <c r="AX194" s="1"/>
      <c r="AY194" s="1"/>
      <c r="AZ194" s="1"/>
      <c r="BA194" s="1"/>
      <c r="BB194" s="20" t="s">
        <v>48</v>
      </c>
      <c r="BD194" s="1"/>
      <c r="BE194" s="1"/>
      <c r="BF194" s="1"/>
      <c r="BG194" s="1"/>
      <c r="BH194" s="1"/>
      <c r="BI194" s="1"/>
      <c r="BJ194" s="1"/>
      <c r="BK194" s="1"/>
      <c r="BL194" s="1"/>
      <c r="BM194" s="1"/>
      <c r="BN194" s="1"/>
      <c r="BO194" s="1"/>
      <c r="BP194" s="1"/>
      <c r="BQ194" s="1"/>
      <c r="BR194" s="1"/>
      <c r="BS194" s="1"/>
      <c r="BT194" s="20" t="s">
        <v>48</v>
      </c>
      <c r="BV194" s="1"/>
      <c r="BW194" s="1"/>
      <c r="BX194" s="1"/>
      <c r="BY194" s="1"/>
      <c r="BZ194" s="1"/>
      <c r="CA194" s="1"/>
      <c r="CB194" s="1"/>
      <c r="CC194" s="1"/>
      <c r="CD194" s="1"/>
      <c r="CE194" s="1"/>
      <c r="CF194" s="1"/>
      <c r="CG194" s="1"/>
      <c r="CH194" s="1"/>
      <c r="CI194" s="1"/>
      <c r="CJ194" s="1"/>
      <c r="CK194" s="1"/>
      <c r="CL194" s="1"/>
      <c r="CM194" s="1"/>
      <c r="CN194" s="1"/>
      <c r="CO194" s="1"/>
      <c r="CP194" s="1"/>
    </row>
    <row r="195" ht="11.25" customHeight="1">
      <c r="A195" s="1"/>
      <c r="B195" s="1"/>
      <c r="C195" s="4" t="s">
        <v>185</v>
      </c>
      <c r="D195" s="5"/>
      <c r="E195" s="5"/>
      <c r="F195" s="5"/>
      <c r="G195" s="5"/>
      <c r="H195" s="5"/>
      <c r="I195" s="5"/>
      <c r="J195" s="5"/>
      <c r="K195" s="5"/>
      <c r="L195" s="5"/>
      <c r="M195" s="5"/>
      <c r="N195" s="5"/>
      <c r="O195" s="5"/>
      <c r="P195" s="5"/>
      <c r="Q195" s="6"/>
      <c r="R195" s="4">
        <f>SWITCH(C$148,"Fast Track",9,"Slow Track",11,10)</f>
        <v>9</v>
      </c>
      <c r="S195" s="6"/>
      <c r="T195" s="1"/>
      <c r="U195" s="4" t="s">
        <v>185</v>
      </c>
      <c r="V195" s="5"/>
      <c r="W195" s="5"/>
      <c r="X195" s="5"/>
      <c r="Y195" s="5"/>
      <c r="Z195" s="5"/>
      <c r="AA195" s="5"/>
      <c r="AB195" s="5"/>
      <c r="AC195" s="5"/>
      <c r="AD195" s="5"/>
      <c r="AE195" s="5"/>
      <c r="AF195" s="5"/>
      <c r="AG195" s="5"/>
      <c r="AH195" s="5"/>
      <c r="AI195" s="6"/>
      <c r="AJ195" s="4">
        <f>SWITCH(U$148,"Fast Track",9,"Slow Track",11,10)</f>
        <v>10</v>
      </c>
      <c r="AK195" s="6"/>
      <c r="AL195" s="1"/>
      <c r="AM195" s="4" t="s">
        <v>185</v>
      </c>
      <c r="AN195" s="5"/>
      <c r="AO195" s="5"/>
      <c r="AP195" s="5"/>
      <c r="AQ195" s="5"/>
      <c r="AR195" s="5"/>
      <c r="AS195" s="5"/>
      <c r="AT195" s="5"/>
      <c r="AU195" s="5"/>
      <c r="AV195" s="5"/>
      <c r="AW195" s="5"/>
      <c r="AX195" s="5"/>
      <c r="AY195" s="5"/>
      <c r="AZ195" s="5"/>
      <c r="BA195" s="6"/>
      <c r="BB195" s="4">
        <f>SWITCH(AM$148,"Fast Track",9,"Slow Track",11,10)</f>
        <v>11</v>
      </c>
      <c r="BC195" s="6"/>
      <c r="BD195" s="1"/>
      <c r="BE195" s="4" t="s">
        <v>185</v>
      </c>
      <c r="BF195" s="5"/>
      <c r="BG195" s="5"/>
      <c r="BH195" s="5"/>
      <c r="BI195" s="5"/>
      <c r="BJ195" s="5"/>
      <c r="BK195" s="5"/>
      <c r="BL195" s="5"/>
      <c r="BM195" s="5"/>
      <c r="BN195" s="5"/>
      <c r="BO195" s="5"/>
      <c r="BP195" s="5"/>
      <c r="BQ195" s="5"/>
      <c r="BR195" s="5"/>
      <c r="BS195" s="6"/>
      <c r="BT195" s="4">
        <f>SWITCH(BE$148,"Fast Track",9,"Slow Track",11,10)</f>
        <v>10</v>
      </c>
      <c r="BU195" s="6"/>
      <c r="BV195" s="1"/>
      <c r="BW195" s="1"/>
      <c r="BX195" s="1"/>
      <c r="BY195" s="1"/>
      <c r="BZ195" s="1"/>
      <c r="CA195" s="1"/>
      <c r="CB195" s="1"/>
      <c r="CC195" s="1"/>
      <c r="CD195" s="1"/>
      <c r="CE195" s="1"/>
      <c r="CF195" s="1"/>
      <c r="CG195" s="1"/>
      <c r="CH195" s="1"/>
      <c r="CI195" s="1"/>
      <c r="CJ195" s="1"/>
      <c r="CK195" s="1"/>
      <c r="CL195" s="1"/>
      <c r="CM195" s="1"/>
      <c r="CN195" s="1"/>
      <c r="CO195" s="1"/>
      <c r="CP195" s="1"/>
    </row>
    <row r="196" ht="11.25" customHeight="1">
      <c r="A196" s="1"/>
      <c r="B196" s="1"/>
      <c r="C196" s="11"/>
      <c r="D196" s="12"/>
      <c r="E196" s="12"/>
      <c r="F196" s="12"/>
      <c r="G196" s="12"/>
      <c r="H196" s="12"/>
      <c r="I196" s="12"/>
      <c r="J196" s="12"/>
      <c r="K196" s="12"/>
      <c r="L196" s="12"/>
      <c r="M196" s="12"/>
      <c r="N196" s="12"/>
      <c r="O196" s="12"/>
      <c r="P196" s="12"/>
      <c r="Q196" s="13"/>
      <c r="R196" s="11"/>
      <c r="S196" s="13"/>
      <c r="T196" s="1"/>
      <c r="U196" s="11"/>
      <c r="V196" s="12"/>
      <c r="W196" s="12"/>
      <c r="X196" s="12"/>
      <c r="Y196" s="12"/>
      <c r="Z196" s="12"/>
      <c r="AA196" s="12"/>
      <c r="AB196" s="12"/>
      <c r="AC196" s="12"/>
      <c r="AD196" s="12"/>
      <c r="AE196" s="12"/>
      <c r="AF196" s="12"/>
      <c r="AG196" s="12"/>
      <c r="AH196" s="12"/>
      <c r="AI196" s="13"/>
      <c r="AJ196" s="11"/>
      <c r="AK196" s="13"/>
      <c r="AL196" s="1"/>
      <c r="AM196" s="11"/>
      <c r="AN196" s="12"/>
      <c r="AO196" s="12"/>
      <c r="AP196" s="12"/>
      <c r="AQ196" s="12"/>
      <c r="AR196" s="12"/>
      <c r="AS196" s="12"/>
      <c r="AT196" s="12"/>
      <c r="AU196" s="12"/>
      <c r="AV196" s="12"/>
      <c r="AW196" s="12"/>
      <c r="AX196" s="12"/>
      <c r="AY196" s="12"/>
      <c r="AZ196" s="12"/>
      <c r="BA196" s="13"/>
      <c r="BB196" s="11"/>
      <c r="BC196" s="13"/>
      <c r="BD196" s="1"/>
      <c r="BE196" s="11"/>
      <c r="BF196" s="12"/>
      <c r="BG196" s="12"/>
      <c r="BH196" s="12"/>
      <c r="BI196" s="12"/>
      <c r="BJ196" s="12"/>
      <c r="BK196" s="12"/>
      <c r="BL196" s="12"/>
      <c r="BM196" s="12"/>
      <c r="BN196" s="12"/>
      <c r="BO196" s="12"/>
      <c r="BP196" s="12"/>
      <c r="BQ196" s="12"/>
      <c r="BR196" s="12"/>
      <c r="BS196" s="13"/>
      <c r="BT196" s="11"/>
      <c r="BU196" s="13"/>
      <c r="BV196" s="1"/>
      <c r="BW196" s="1"/>
      <c r="BX196" s="1"/>
      <c r="BY196" s="1"/>
      <c r="BZ196" s="1"/>
      <c r="CA196" s="1"/>
      <c r="CB196" s="1"/>
      <c r="CC196" s="1"/>
      <c r="CD196" s="1"/>
      <c r="CE196" s="1"/>
      <c r="CF196" s="1"/>
      <c r="CG196" s="1"/>
      <c r="CH196" s="1"/>
      <c r="CI196" s="1"/>
      <c r="CJ196" s="1"/>
      <c r="CK196" s="1"/>
      <c r="CL196" s="1"/>
      <c r="CM196" s="1"/>
      <c r="CN196" s="1"/>
      <c r="CO196" s="1"/>
      <c r="CP196" s="1"/>
    </row>
    <row r="197" ht="11.25" customHeight="1">
      <c r="A197" s="1"/>
      <c r="B197" s="1"/>
      <c r="C197" s="73" t="str">
        <f>IF($AC$9&gt;=R$195,"Resilience","")</f>
        <v/>
      </c>
      <c r="D197" s="5"/>
      <c r="E197" s="5"/>
      <c r="F197" s="5"/>
      <c r="G197" s="5"/>
      <c r="H197" s="5"/>
      <c r="I197" s="5"/>
      <c r="J197" s="5"/>
      <c r="K197" s="5"/>
      <c r="L197" s="5"/>
      <c r="M197" s="5"/>
      <c r="N197" s="5"/>
      <c r="O197" s="5"/>
      <c r="P197" s="5"/>
      <c r="Q197" s="5"/>
      <c r="R197" s="5"/>
      <c r="S197" s="6"/>
      <c r="T197" s="1"/>
      <c r="U197" s="73" t="str">
        <f>IF($AC$9&gt;=AJ$195,"More Than They Can Chew","")</f>
        <v/>
      </c>
      <c r="V197" s="5"/>
      <c r="W197" s="5"/>
      <c r="X197" s="5"/>
      <c r="Y197" s="5"/>
      <c r="Z197" s="5"/>
      <c r="AA197" s="5"/>
      <c r="AB197" s="5"/>
      <c r="AC197" s="5"/>
      <c r="AD197" s="5"/>
      <c r="AE197" s="5"/>
      <c r="AF197" s="5"/>
      <c r="AG197" s="5"/>
      <c r="AH197" s="5"/>
      <c r="AI197" s="5"/>
      <c r="AJ197" s="5"/>
      <c r="AK197" s="6"/>
      <c r="AL197" s="1"/>
      <c r="AM197" s="46" t="str">
        <f>IF($AC$9&gt;=BB195,"Diamond Soul","")</f>
        <v/>
      </c>
      <c r="AN197" s="5"/>
      <c r="AO197" s="5"/>
      <c r="AP197" s="5"/>
      <c r="AQ197" s="5"/>
      <c r="AR197" s="5"/>
      <c r="AS197" s="5"/>
      <c r="AT197" s="5"/>
      <c r="AU197" s="5"/>
      <c r="AV197" s="5"/>
      <c r="AW197" s="5"/>
      <c r="AX197" s="5"/>
      <c r="AY197" s="5"/>
      <c r="AZ197" s="5"/>
      <c r="BA197" s="5"/>
      <c r="BB197" s="5"/>
      <c r="BC197" s="6"/>
      <c r="BD197" s="1"/>
      <c r="BE197" s="73" t="str">
        <f>IF($AC$9&gt;=BT$195,"The Earth Calls","")</f>
        <v/>
      </c>
      <c r="BF197" s="5"/>
      <c r="BG197" s="5"/>
      <c r="BH197" s="5"/>
      <c r="BI197" s="5"/>
      <c r="BJ197" s="5"/>
      <c r="BK197" s="5"/>
      <c r="BL197" s="5"/>
      <c r="BM197" s="5"/>
      <c r="BN197" s="5"/>
      <c r="BO197" s="5"/>
      <c r="BP197" s="5"/>
      <c r="BQ197" s="5"/>
      <c r="BR197" s="5"/>
      <c r="BS197" s="5"/>
      <c r="BT197" s="5"/>
      <c r="BU197" s="6"/>
      <c r="BV197" s="1"/>
      <c r="BW197" s="1"/>
      <c r="BX197" s="1"/>
      <c r="BY197" s="1"/>
      <c r="BZ197" s="1"/>
      <c r="CA197" s="1"/>
      <c r="CB197" s="1"/>
      <c r="CC197" s="1"/>
      <c r="CD197" s="1"/>
      <c r="CE197" s="1"/>
      <c r="CF197" s="1"/>
      <c r="CG197" s="1"/>
      <c r="CH197" s="1"/>
      <c r="CI197" s="1"/>
      <c r="CJ197" s="1"/>
      <c r="CK197" s="1"/>
      <c r="CL197" s="1"/>
      <c r="CM197" s="1"/>
      <c r="CN197" s="1"/>
      <c r="CO197" s="1"/>
      <c r="CP197" s="1"/>
    </row>
    <row r="198" ht="11.25" customHeight="1">
      <c r="A198" s="1"/>
      <c r="B198" s="1"/>
      <c r="C198" s="11"/>
      <c r="D198" s="12"/>
      <c r="E198" s="12"/>
      <c r="F198" s="12"/>
      <c r="G198" s="12"/>
      <c r="H198" s="12"/>
      <c r="I198" s="12"/>
      <c r="J198" s="12"/>
      <c r="K198" s="12"/>
      <c r="L198" s="12"/>
      <c r="M198" s="12"/>
      <c r="N198" s="12"/>
      <c r="O198" s="12"/>
      <c r="P198" s="12"/>
      <c r="Q198" s="12"/>
      <c r="R198" s="12"/>
      <c r="S198" s="13"/>
      <c r="T198" s="1"/>
      <c r="U198" s="11"/>
      <c r="V198" s="12"/>
      <c r="W198" s="12"/>
      <c r="X198" s="12"/>
      <c r="Y198" s="12"/>
      <c r="Z198" s="12"/>
      <c r="AA198" s="12"/>
      <c r="AB198" s="12"/>
      <c r="AC198" s="12"/>
      <c r="AD198" s="12"/>
      <c r="AE198" s="12"/>
      <c r="AF198" s="12"/>
      <c r="AG198" s="12"/>
      <c r="AH198" s="12"/>
      <c r="AI198" s="12"/>
      <c r="AJ198" s="12"/>
      <c r="AK198" s="13"/>
      <c r="AL198" s="1"/>
      <c r="AM198" s="11"/>
      <c r="AN198" s="12"/>
      <c r="AO198" s="12"/>
      <c r="AP198" s="12"/>
      <c r="AQ198" s="12"/>
      <c r="AR198" s="12"/>
      <c r="AS198" s="12"/>
      <c r="AT198" s="12"/>
      <c r="AU198" s="12"/>
      <c r="AV198" s="12"/>
      <c r="AW198" s="12"/>
      <c r="AX198" s="12"/>
      <c r="AY198" s="12"/>
      <c r="AZ198" s="12"/>
      <c r="BA198" s="12"/>
      <c r="BB198" s="12"/>
      <c r="BC198" s="13"/>
      <c r="BD198" s="1"/>
      <c r="BE198" s="11"/>
      <c r="BF198" s="12"/>
      <c r="BG198" s="12"/>
      <c r="BH198" s="12"/>
      <c r="BI198" s="12"/>
      <c r="BJ198" s="12"/>
      <c r="BK198" s="12"/>
      <c r="BL198" s="12"/>
      <c r="BM198" s="12"/>
      <c r="BN198" s="12"/>
      <c r="BO198" s="12"/>
      <c r="BP198" s="12"/>
      <c r="BQ198" s="12"/>
      <c r="BR198" s="12"/>
      <c r="BS198" s="12"/>
      <c r="BT198" s="12"/>
      <c r="BU198" s="13"/>
      <c r="BV198" s="1"/>
      <c r="BW198" s="1"/>
      <c r="BX198" s="1"/>
      <c r="BY198" s="1"/>
      <c r="BZ198" s="1"/>
      <c r="CA198" s="1"/>
      <c r="CB198" s="1"/>
      <c r="CC198" s="1"/>
      <c r="CD198" s="1"/>
      <c r="CE198" s="1"/>
      <c r="CF198" s="1"/>
      <c r="CG198" s="1"/>
      <c r="CH198" s="1"/>
      <c r="CI198" s="1"/>
      <c r="CJ198" s="1"/>
      <c r="CK198" s="1"/>
      <c r="CL198" s="1"/>
      <c r="CM198" s="1"/>
      <c r="CN198" s="1"/>
      <c r="CO198" s="1"/>
      <c r="CP198" s="1"/>
    </row>
    <row r="199" ht="11.25" customHeight="1">
      <c r="A199" s="1"/>
      <c r="B199" s="1"/>
      <c r="C199" s="70" t="str">
        <f>IF($AC$9&gt;=R$195,CONCATENATE("[Fast healing] ",$AC$9),"")</f>
        <v/>
      </c>
      <c r="S199" s="34"/>
      <c r="T199" s="71"/>
      <c r="U199" s="70" t="str">
        <f>IF($AC$9&gt;=AJ$195,CONCATENATE("Wolf: +",($AC$9*2)," HP",char(10),"On a hit with Tooth &amp; Claw, target suffers -1 AC for the rest of the [Encounter] (max -3)"),"")</f>
        <v/>
      </c>
      <c r="AK199" s="34"/>
      <c r="AL199" s="71"/>
      <c r="AM199" s="72" t="str">
        <f>IF($AC$9&gt;=BB195,CONCATENATE("Energy/magic [Resistance] ",$AC$9),"")</f>
        <v/>
      </c>
      <c r="AN199" s="5"/>
      <c r="AO199" s="5"/>
      <c r="AP199" s="5"/>
      <c r="AQ199" s="5"/>
      <c r="AR199" s="5"/>
      <c r="AS199" s="5"/>
      <c r="AT199" s="5"/>
      <c r="AU199" s="5"/>
      <c r="AV199" s="5"/>
      <c r="AW199" s="5"/>
      <c r="AX199" s="5"/>
      <c r="AY199" s="5"/>
      <c r="AZ199" s="5"/>
      <c r="BA199" s="5"/>
      <c r="BB199" s="5"/>
      <c r="BC199" s="6"/>
      <c r="BD199" s="1"/>
      <c r="BE199" s="70" t="str">
        <f>IF($AC$9&gt;=BT$195,CONCATENATE("1/[Encounter] TRUE per creature within [Close] range: deal ",$AC$9," DMG, Reflex or [Slowed] for two [Rounds]"),"")</f>
        <v/>
      </c>
      <c r="BU199" s="34"/>
      <c r="BV199" s="1"/>
      <c r="BW199" s="1"/>
      <c r="BX199" s="1"/>
      <c r="BY199" s="1"/>
      <c r="BZ199" s="1"/>
      <c r="CA199" s="1"/>
      <c r="CB199" s="1"/>
      <c r="CC199" s="1"/>
      <c r="CD199" s="1"/>
      <c r="CE199" s="1"/>
      <c r="CF199" s="1"/>
      <c r="CG199" s="1"/>
      <c r="CH199" s="1"/>
      <c r="CI199" s="1"/>
      <c r="CJ199" s="1"/>
      <c r="CK199" s="1"/>
      <c r="CL199" s="1"/>
      <c r="CM199" s="1"/>
      <c r="CN199" s="1"/>
      <c r="CO199" s="1"/>
      <c r="CP199" s="1"/>
    </row>
    <row r="200" ht="11.25" customHeight="1">
      <c r="A200" s="1"/>
      <c r="B200" s="1"/>
      <c r="C200" s="59"/>
      <c r="S200" s="34"/>
      <c r="T200" s="71"/>
      <c r="U200" s="59"/>
      <c r="AK200" s="34"/>
      <c r="AL200" s="71"/>
      <c r="AM200" s="59"/>
      <c r="BC200" s="34"/>
      <c r="BD200" s="1"/>
      <c r="BE200" s="59"/>
      <c r="BU200" s="34"/>
      <c r="BV200" s="1"/>
      <c r="BW200" s="1"/>
      <c r="BX200" s="1"/>
      <c r="BY200" s="1"/>
      <c r="BZ200" s="1"/>
      <c r="CA200" s="1"/>
      <c r="CB200" s="1"/>
      <c r="CC200" s="1"/>
      <c r="CD200" s="1"/>
      <c r="CE200" s="1"/>
      <c r="CF200" s="1"/>
      <c r="CG200" s="1"/>
      <c r="CH200" s="1"/>
      <c r="CI200" s="1"/>
      <c r="CJ200" s="1"/>
      <c r="CK200" s="1"/>
      <c r="CL200" s="1"/>
      <c r="CM200" s="1"/>
      <c r="CN200" s="1"/>
      <c r="CO200" s="1"/>
      <c r="CP200" s="1"/>
    </row>
    <row r="201" ht="11.25" customHeight="1">
      <c r="A201" s="1"/>
      <c r="B201" s="1"/>
      <c r="C201" s="59"/>
      <c r="S201" s="34"/>
      <c r="T201" s="71"/>
      <c r="U201" s="59"/>
      <c r="AK201" s="34"/>
      <c r="AL201" s="71"/>
      <c r="AM201" s="59"/>
      <c r="BC201" s="34"/>
      <c r="BD201" s="1"/>
      <c r="BE201" s="59"/>
      <c r="BU201" s="34"/>
      <c r="BV201" s="1"/>
      <c r="BW201" s="1"/>
      <c r="BX201" s="1"/>
      <c r="BY201" s="1"/>
      <c r="BZ201" s="1"/>
      <c r="CA201" s="1"/>
      <c r="CB201" s="1"/>
      <c r="CC201" s="1"/>
      <c r="CD201" s="1"/>
      <c r="CE201" s="1"/>
      <c r="CF201" s="1"/>
      <c r="CG201" s="1"/>
      <c r="CH201" s="1"/>
      <c r="CI201" s="1"/>
      <c r="CJ201" s="1"/>
      <c r="CK201" s="1"/>
      <c r="CL201" s="1"/>
      <c r="CM201" s="1"/>
      <c r="CN201" s="1"/>
      <c r="CO201" s="1"/>
      <c r="CP201" s="1"/>
    </row>
    <row r="202" ht="11.25" customHeight="1">
      <c r="A202" s="1"/>
      <c r="B202" s="1"/>
      <c r="C202" s="59"/>
      <c r="S202" s="34"/>
      <c r="T202" s="71"/>
      <c r="U202" s="59"/>
      <c r="AK202" s="34"/>
      <c r="AL202" s="71"/>
      <c r="AM202" s="59"/>
      <c r="BC202" s="34"/>
      <c r="BD202" s="1"/>
      <c r="BE202" s="59"/>
      <c r="BU202" s="34"/>
      <c r="BV202" s="1"/>
      <c r="BW202" s="1"/>
      <c r="BX202" s="1"/>
      <c r="BY202" s="1"/>
      <c r="BZ202" s="1"/>
      <c r="CA202" s="1"/>
      <c r="CB202" s="1"/>
      <c r="CC202" s="1"/>
      <c r="CD202" s="1"/>
      <c r="CE202" s="1"/>
      <c r="CF202" s="1"/>
      <c r="CG202" s="1"/>
      <c r="CH202" s="1"/>
      <c r="CI202" s="1"/>
      <c r="CJ202" s="1"/>
      <c r="CK202" s="1"/>
      <c r="CL202" s="1"/>
      <c r="CM202" s="1"/>
      <c r="CN202" s="1"/>
      <c r="CO202" s="1"/>
      <c r="CP202" s="1"/>
    </row>
    <row r="203" ht="11.25" customHeight="1">
      <c r="A203" s="1"/>
      <c r="B203" s="1"/>
      <c r="C203" s="59"/>
      <c r="S203" s="34"/>
      <c r="T203" s="71"/>
      <c r="U203" s="59"/>
      <c r="AK203" s="34"/>
      <c r="AL203" s="71"/>
      <c r="AM203" s="59"/>
      <c r="BC203" s="34"/>
      <c r="BD203" s="1"/>
      <c r="BE203" s="59"/>
      <c r="BU203" s="34"/>
      <c r="BV203" s="1"/>
      <c r="BW203" s="1"/>
      <c r="BX203" s="1"/>
      <c r="BY203" s="1"/>
      <c r="BZ203" s="1"/>
      <c r="CA203" s="1"/>
      <c r="CB203" s="1"/>
      <c r="CC203" s="1"/>
      <c r="CD203" s="1"/>
      <c r="CE203" s="1"/>
      <c r="CF203" s="1"/>
      <c r="CG203" s="1"/>
      <c r="CH203" s="1"/>
      <c r="CI203" s="1"/>
      <c r="CJ203" s="1"/>
      <c r="CK203" s="1"/>
      <c r="CL203" s="1"/>
      <c r="CM203" s="1"/>
      <c r="CN203" s="1"/>
      <c r="CO203" s="1"/>
      <c r="CP203" s="1"/>
    </row>
    <row r="204" ht="11.25" customHeight="1">
      <c r="A204" s="1"/>
      <c r="B204" s="1"/>
      <c r="C204" s="59"/>
      <c r="S204" s="34"/>
      <c r="T204" s="71"/>
      <c r="U204" s="59"/>
      <c r="AK204" s="34"/>
      <c r="AL204" s="71"/>
      <c r="AM204" s="59"/>
      <c r="BC204" s="34"/>
      <c r="BD204" s="1"/>
      <c r="BE204" s="59"/>
      <c r="BU204" s="34"/>
      <c r="BV204" s="1"/>
      <c r="BW204" s="1"/>
      <c r="BX204" s="1"/>
      <c r="BY204" s="1"/>
      <c r="BZ204" s="1"/>
      <c r="CA204" s="1"/>
      <c r="CB204" s="1"/>
      <c r="CC204" s="1"/>
      <c r="CD204" s="1"/>
      <c r="CE204" s="1"/>
      <c r="CF204" s="1"/>
      <c r="CG204" s="1"/>
      <c r="CH204" s="1"/>
      <c r="CI204" s="1"/>
      <c r="CJ204" s="1"/>
      <c r="CK204" s="1"/>
      <c r="CL204" s="1"/>
      <c r="CM204" s="1"/>
      <c r="CN204" s="1"/>
      <c r="CO204" s="1"/>
      <c r="CP204" s="1"/>
    </row>
    <row r="205" ht="11.25" customHeight="1">
      <c r="A205" s="1"/>
      <c r="B205" s="1"/>
      <c r="C205" s="59"/>
      <c r="S205" s="34"/>
      <c r="T205" s="71"/>
      <c r="U205" s="59"/>
      <c r="AK205" s="34"/>
      <c r="AL205" s="71"/>
      <c r="AM205" s="59"/>
      <c r="BC205" s="34"/>
      <c r="BD205" s="1"/>
      <c r="BE205" s="59"/>
      <c r="BU205" s="34"/>
      <c r="BV205" s="1"/>
      <c r="BW205" s="1"/>
      <c r="BX205" s="1"/>
      <c r="BY205" s="1"/>
      <c r="BZ205" s="1"/>
      <c r="CA205" s="1"/>
      <c r="CB205" s="1"/>
      <c r="CC205" s="1"/>
      <c r="CD205" s="1"/>
      <c r="CE205" s="1"/>
      <c r="CF205" s="1"/>
      <c r="CG205" s="1"/>
      <c r="CH205" s="1"/>
      <c r="CI205" s="1"/>
      <c r="CJ205" s="1"/>
      <c r="CK205" s="1"/>
      <c r="CL205" s="1"/>
      <c r="CM205" s="1"/>
      <c r="CN205" s="1"/>
      <c r="CO205" s="1"/>
      <c r="CP205" s="1"/>
    </row>
    <row r="206" ht="11.25" customHeight="1">
      <c r="A206" s="1"/>
      <c r="B206" s="1"/>
      <c r="C206" s="11"/>
      <c r="D206" s="12"/>
      <c r="E206" s="12"/>
      <c r="F206" s="12"/>
      <c r="G206" s="12"/>
      <c r="H206" s="12"/>
      <c r="I206" s="12"/>
      <c r="J206" s="12"/>
      <c r="K206" s="12"/>
      <c r="L206" s="12"/>
      <c r="M206" s="12"/>
      <c r="N206" s="12"/>
      <c r="O206" s="12"/>
      <c r="P206" s="12"/>
      <c r="Q206" s="12"/>
      <c r="R206" s="12"/>
      <c r="S206" s="13"/>
      <c r="T206" s="71"/>
      <c r="U206" s="11"/>
      <c r="V206" s="12"/>
      <c r="W206" s="12"/>
      <c r="X206" s="12"/>
      <c r="Y206" s="12"/>
      <c r="Z206" s="12"/>
      <c r="AA206" s="12"/>
      <c r="AB206" s="12"/>
      <c r="AC206" s="12"/>
      <c r="AD206" s="12"/>
      <c r="AE206" s="12"/>
      <c r="AF206" s="12"/>
      <c r="AG206" s="12"/>
      <c r="AH206" s="12"/>
      <c r="AI206" s="12"/>
      <c r="AJ206" s="12"/>
      <c r="AK206" s="13"/>
      <c r="AL206" s="71"/>
      <c r="AM206" s="11"/>
      <c r="AN206" s="12"/>
      <c r="AO206" s="12"/>
      <c r="AP206" s="12"/>
      <c r="AQ206" s="12"/>
      <c r="AR206" s="12"/>
      <c r="AS206" s="12"/>
      <c r="AT206" s="12"/>
      <c r="AU206" s="12"/>
      <c r="AV206" s="12"/>
      <c r="AW206" s="12"/>
      <c r="AX206" s="12"/>
      <c r="AY206" s="12"/>
      <c r="AZ206" s="12"/>
      <c r="BA206" s="12"/>
      <c r="BB206" s="12"/>
      <c r="BC206" s="13"/>
      <c r="BD206" s="1"/>
      <c r="BE206" s="11"/>
      <c r="BF206" s="12"/>
      <c r="BG206" s="12"/>
      <c r="BH206" s="12"/>
      <c r="BI206" s="12"/>
      <c r="BJ206" s="12"/>
      <c r="BK206" s="12"/>
      <c r="BL206" s="12"/>
      <c r="BM206" s="12"/>
      <c r="BN206" s="12"/>
      <c r="BO206" s="12"/>
      <c r="BP206" s="12"/>
      <c r="BQ206" s="12"/>
      <c r="BR206" s="12"/>
      <c r="BS206" s="12"/>
      <c r="BT206" s="12"/>
      <c r="BU206" s="13"/>
      <c r="BV206" s="1"/>
      <c r="BW206" s="1"/>
      <c r="BX206" s="1"/>
      <c r="BY206" s="1"/>
      <c r="BZ206" s="1"/>
      <c r="CA206" s="1"/>
      <c r="CB206" s="1"/>
      <c r="CC206" s="1"/>
      <c r="CD206" s="1"/>
      <c r="CE206" s="1"/>
      <c r="CF206" s="1"/>
      <c r="CG206" s="1"/>
      <c r="CH206" s="1"/>
      <c r="CI206" s="1"/>
      <c r="CJ206" s="1"/>
      <c r="CK206" s="1"/>
      <c r="CL206" s="1"/>
      <c r="CM206" s="1"/>
      <c r="CN206" s="1"/>
      <c r="CO206" s="1"/>
      <c r="CP206" s="1"/>
    </row>
    <row r="207" ht="11.25" customHeight="1">
      <c r="A207" s="1"/>
      <c r="B207" s="1"/>
      <c r="C207" s="1"/>
      <c r="D207" s="1"/>
      <c r="E207" s="1"/>
      <c r="F207" s="1"/>
      <c r="G207" s="1"/>
      <c r="H207" s="1"/>
      <c r="I207" s="1"/>
      <c r="J207" s="1"/>
      <c r="K207" s="1"/>
      <c r="L207" s="1"/>
      <c r="M207" s="1"/>
      <c r="N207" s="1"/>
      <c r="O207" s="1"/>
      <c r="P207" s="1"/>
      <c r="Q207" s="1"/>
      <c r="R207" s="20" t="s">
        <v>48</v>
      </c>
      <c r="T207" s="1"/>
      <c r="U207" s="1"/>
      <c r="V207" s="1"/>
      <c r="W207" s="1"/>
      <c r="X207" s="1"/>
      <c r="Y207" s="1"/>
      <c r="Z207" s="1"/>
      <c r="AA207" s="1"/>
      <c r="AB207" s="1"/>
      <c r="AC207" s="1"/>
      <c r="AD207" s="1"/>
      <c r="AE207" s="1"/>
      <c r="AF207" s="1"/>
      <c r="AG207" s="1"/>
      <c r="AH207" s="1"/>
      <c r="AI207" s="1"/>
      <c r="AJ207" s="20" t="s">
        <v>48</v>
      </c>
      <c r="AL207" s="1"/>
      <c r="AM207" s="1"/>
      <c r="AN207" s="1"/>
      <c r="AO207" s="1"/>
      <c r="AP207" s="1"/>
      <c r="AQ207" s="1"/>
      <c r="AR207" s="1"/>
      <c r="AS207" s="1"/>
      <c r="AT207" s="1"/>
      <c r="AU207" s="1"/>
      <c r="AV207" s="1"/>
      <c r="AW207" s="1"/>
      <c r="AX207" s="1"/>
      <c r="AY207" s="1"/>
      <c r="AZ207" s="1"/>
      <c r="BA207" s="1"/>
      <c r="BB207" s="20" t="s">
        <v>48</v>
      </c>
      <c r="BD207" s="1"/>
      <c r="BE207" s="1"/>
      <c r="BF207" s="1"/>
      <c r="BG207" s="1"/>
      <c r="BH207" s="1"/>
      <c r="BI207" s="1"/>
      <c r="BJ207" s="1"/>
      <c r="BK207" s="1"/>
      <c r="BL207" s="1"/>
      <c r="BM207" s="1"/>
      <c r="BN207" s="1"/>
      <c r="BO207" s="1"/>
      <c r="BP207" s="1"/>
      <c r="BQ207" s="1"/>
      <c r="BR207" s="1"/>
      <c r="BS207" s="1"/>
      <c r="BT207" s="20" t="s">
        <v>48</v>
      </c>
      <c r="BV207" s="1"/>
      <c r="BW207" s="1"/>
      <c r="BX207" s="1"/>
      <c r="BY207" s="1"/>
      <c r="BZ207" s="1"/>
      <c r="CA207" s="1"/>
      <c r="CB207" s="1"/>
      <c r="CC207" s="1"/>
      <c r="CD207" s="1"/>
      <c r="CE207" s="1"/>
      <c r="CF207" s="1"/>
      <c r="CG207" s="1"/>
      <c r="CH207" s="1"/>
      <c r="CI207" s="1"/>
      <c r="CJ207" s="1"/>
      <c r="CK207" s="1"/>
      <c r="CL207" s="1"/>
      <c r="CM207" s="1"/>
      <c r="CN207" s="1"/>
      <c r="CO207" s="1"/>
      <c r="CP207" s="1"/>
    </row>
    <row r="208" ht="11.25" customHeight="1">
      <c r="A208" s="1"/>
      <c r="B208" s="1"/>
      <c r="C208" s="4" t="s">
        <v>186</v>
      </c>
      <c r="D208" s="5"/>
      <c r="E208" s="5"/>
      <c r="F208" s="5"/>
      <c r="G208" s="5"/>
      <c r="H208" s="5"/>
      <c r="I208" s="5"/>
      <c r="J208" s="5"/>
      <c r="K208" s="5"/>
      <c r="L208" s="5"/>
      <c r="M208" s="5"/>
      <c r="N208" s="5"/>
      <c r="O208" s="5"/>
      <c r="P208" s="5"/>
      <c r="Q208" s="6"/>
      <c r="R208" s="4">
        <f>SWITCH(C$148,"Fast Track",12,"Slow Track",14,13)</f>
        <v>12</v>
      </c>
      <c r="S208" s="6"/>
      <c r="T208" s="1"/>
      <c r="U208" s="4" t="s">
        <v>186</v>
      </c>
      <c r="V208" s="5"/>
      <c r="W208" s="5"/>
      <c r="X208" s="5"/>
      <c r="Y208" s="5"/>
      <c r="Z208" s="5"/>
      <c r="AA208" s="5"/>
      <c r="AB208" s="5"/>
      <c r="AC208" s="5"/>
      <c r="AD208" s="5"/>
      <c r="AE208" s="5"/>
      <c r="AF208" s="5"/>
      <c r="AG208" s="5"/>
      <c r="AH208" s="5"/>
      <c r="AI208" s="6"/>
      <c r="AJ208" s="4">
        <f>SWITCH(U$148,"Fast Track",12,"Slow Track",14,13)</f>
        <v>13</v>
      </c>
      <c r="AK208" s="6"/>
      <c r="AL208" s="1"/>
      <c r="AM208" s="4" t="s">
        <v>186</v>
      </c>
      <c r="AN208" s="5"/>
      <c r="AO208" s="5"/>
      <c r="AP208" s="5"/>
      <c r="AQ208" s="5"/>
      <c r="AR208" s="5"/>
      <c r="AS208" s="5"/>
      <c r="AT208" s="5"/>
      <c r="AU208" s="5"/>
      <c r="AV208" s="5"/>
      <c r="AW208" s="5"/>
      <c r="AX208" s="5"/>
      <c r="AY208" s="5"/>
      <c r="AZ208" s="5"/>
      <c r="BA208" s="6"/>
      <c r="BB208" s="4">
        <f>SWITCH(AM$148,"Fast Track",12,"Slow Track",14,13)</f>
        <v>14</v>
      </c>
      <c r="BC208" s="6"/>
      <c r="BD208" s="1"/>
      <c r="BE208" s="4" t="s">
        <v>186</v>
      </c>
      <c r="BF208" s="5"/>
      <c r="BG208" s="5"/>
      <c r="BH208" s="5"/>
      <c r="BI208" s="5"/>
      <c r="BJ208" s="5"/>
      <c r="BK208" s="5"/>
      <c r="BL208" s="5"/>
      <c r="BM208" s="5"/>
      <c r="BN208" s="5"/>
      <c r="BO208" s="5"/>
      <c r="BP208" s="5"/>
      <c r="BQ208" s="5"/>
      <c r="BR208" s="5"/>
      <c r="BS208" s="6"/>
      <c r="BT208" s="4">
        <f>SWITCH(BE$148,"Fast Track",12,"Slow Track",14,13)</f>
        <v>13</v>
      </c>
      <c r="BU208" s="6"/>
      <c r="BV208" s="1"/>
      <c r="BW208" s="1"/>
      <c r="BX208" s="1"/>
      <c r="BY208" s="1"/>
      <c r="BZ208" s="1"/>
      <c r="CA208" s="1"/>
      <c r="CB208" s="1"/>
      <c r="CC208" s="1"/>
      <c r="CD208" s="1"/>
      <c r="CE208" s="1"/>
      <c r="CF208" s="1"/>
      <c r="CG208" s="1"/>
      <c r="CH208" s="1"/>
      <c r="CI208" s="1"/>
      <c r="CJ208" s="1"/>
      <c r="CK208" s="1"/>
      <c r="CL208" s="1"/>
      <c r="CM208" s="1"/>
      <c r="CN208" s="1"/>
      <c r="CO208" s="1"/>
      <c r="CP208" s="1"/>
    </row>
    <row r="209" ht="11.25" customHeight="1">
      <c r="A209" s="1"/>
      <c r="B209" s="1"/>
      <c r="C209" s="11"/>
      <c r="D209" s="12"/>
      <c r="E209" s="12"/>
      <c r="F209" s="12"/>
      <c r="G209" s="12"/>
      <c r="H209" s="12"/>
      <c r="I209" s="12"/>
      <c r="J209" s="12"/>
      <c r="K209" s="12"/>
      <c r="L209" s="12"/>
      <c r="M209" s="12"/>
      <c r="N209" s="12"/>
      <c r="O209" s="12"/>
      <c r="P209" s="12"/>
      <c r="Q209" s="13"/>
      <c r="R209" s="11"/>
      <c r="S209" s="13"/>
      <c r="T209" s="1"/>
      <c r="U209" s="11"/>
      <c r="V209" s="12"/>
      <c r="W209" s="12"/>
      <c r="X209" s="12"/>
      <c r="Y209" s="12"/>
      <c r="Z209" s="12"/>
      <c r="AA209" s="12"/>
      <c r="AB209" s="12"/>
      <c r="AC209" s="12"/>
      <c r="AD209" s="12"/>
      <c r="AE209" s="12"/>
      <c r="AF209" s="12"/>
      <c r="AG209" s="12"/>
      <c r="AH209" s="12"/>
      <c r="AI209" s="13"/>
      <c r="AJ209" s="11"/>
      <c r="AK209" s="13"/>
      <c r="AL209" s="1"/>
      <c r="AM209" s="11"/>
      <c r="AN209" s="12"/>
      <c r="AO209" s="12"/>
      <c r="AP209" s="12"/>
      <c r="AQ209" s="12"/>
      <c r="AR209" s="12"/>
      <c r="AS209" s="12"/>
      <c r="AT209" s="12"/>
      <c r="AU209" s="12"/>
      <c r="AV209" s="12"/>
      <c r="AW209" s="12"/>
      <c r="AX209" s="12"/>
      <c r="AY209" s="12"/>
      <c r="AZ209" s="12"/>
      <c r="BA209" s="13"/>
      <c r="BB209" s="11"/>
      <c r="BC209" s="13"/>
      <c r="BD209" s="1"/>
      <c r="BE209" s="11"/>
      <c r="BF209" s="12"/>
      <c r="BG209" s="12"/>
      <c r="BH209" s="12"/>
      <c r="BI209" s="12"/>
      <c r="BJ209" s="12"/>
      <c r="BK209" s="12"/>
      <c r="BL209" s="12"/>
      <c r="BM209" s="12"/>
      <c r="BN209" s="12"/>
      <c r="BO209" s="12"/>
      <c r="BP209" s="12"/>
      <c r="BQ209" s="12"/>
      <c r="BR209" s="12"/>
      <c r="BS209" s="13"/>
      <c r="BT209" s="11"/>
      <c r="BU209" s="13"/>
      <c r="BV209" s="1"/>
      <c r="BW209" s="1"/>
      <c r="BX209" s="1"/>
      <c r="BY209" s="1"/>
      <c r="BZ209" s="1"/>
      <c r="CA209" s="1"/>
      <c r="CB209" s="1"/>
      <c r="CC209" s="1"/>
      <c r="CD209" s="1"/>
      <c r="CE209" s="1"/>
      <c r="CF209" s="1"/>
      <c r="CG209" s="1"/>
      <c r="CH209" s="1"/>
      <c r="CI209" s="1"/>
      <c r="CJ209" s="1"/>
      <c r="CK209" s="1"/>
      <c r="CL209" s="1"/>
      <c r="CM209" s="1"/>
      <c r="CN209" s="1"/>
      <c r="CO209" s="1"/>
      <c r="CP209" s="1"/>
    </row>
    <row r="210" ht="11.25" customHeight="1">
      <c r="A210" s="1"/>
      <c r="B210" s="1"/>
      <c r="C210" s="73" t="str">
        <f>IF($AC$9&gt;=R$208,"Ancestral Blessing","")</f>
        <v/>
      </c>
      <c r="D210" s="5"/>
      <c r="E210" s="5"/>
      <c r="F210" s="5"/>
      <c r="G210" s="5"/>
      <c r="H210" s="5"/>
      <c r="I210" s="5"/>
      <c r="J210" s="5"/>
      <c r="K210" s="5"/>
      <c r="L210" s="5"/>
      <c r="M210" s="5"/>
      <c r="N210" s="5"/>
      <c r="O210" s="5"/>
      <c r="P210" s="5"/>
      <c r="Q210" s="5"/>
      <c r="R210" s="5"/>
      <c r="S210" s="6"/>
      <c r="T210" s="1"/>
      <c r="U210" s="73" t="str">
        <f>IF($AC$9&gt;=AJ$208,"First to Feed","")</f>
        <v/>
      </c>
      <c r="V210" s="5"/>
      <c r="W210" s="5"/>
      <c r="X210" s="5"/>
      <c r="Y210" s="5"/>
      <c r="Z210" s="5"/>
      <c r="AA210" s="5"/>
      <c r="AB210" s="5"/>
      <c r="AC210" s="5"/>
      <c r="AD210" s="5"/>
      <c r="AE210" s="5"/>
      <c r="AF210" s="5"/>
      <c r="AG210" s="5"/>
      <c r="AH210" s="5"/>
      <c r="AI210" s="5"/>
      <c r="AJ210" s="5"/>
      <c r="AK210" s="6"/>
      <c r="AL210" s="1"/>
      <c r="AM210" s="46" t="str">
        <f>IF($AC$9&gt;=BB208,"Cloak of the Sun and Moon","")</f>
        <v/>
      </c>
      <c r="AN210" s="5"/>
      <c r="AO210" s="5"/>
      <c r="AP210" s="5"/>
      <c r="AQ210" s="5"/>
      <c r="AR210" s="5"/>
      <c r="AS210" s="5"/>
      <c r="AT210" s="5"/>
      <c r="AU210" s="5"/>
      <c r="AV210" s="5"/>
      <c r="AW210" s="5"/>
      <c r="AX210" s="5"/>
      <c r="AY210" s="5"/>
      <c r="AZ210" s="5"/>
      <c r="BA210" s="5"/>
      <c r="BB210" s="5"/>
      <c r="BC210" s="6"/>
      <c r="BD210" s="1"/>
      <c r="BE210" s="73" t="str">
        <f>IF($AC$9&gt;=BT$208,"Unbreakable Oath","")</f>
        <v/>
      </c>
      <c r="BF210" s="5"/>
      <c r="BG210" s="5"/>
      <c r="BH210" s="5"/>
      <c r="BI210" s="5"/>
      <c r="BJ210" s="5"/>
      <c r="BK210" s="5"/>
      <c r="BL210" s="5"/>
      <c r="BM210" s="5"/>
      <c r="BN210" s="5"/>
      <c r="BO210" s="5"/>
      <c r="BP210" s="5"/>
      <c r="BQ210" s="5"/>
      <c r="BR210" s="5"/>
      <c r="BS210" s="5"/>
      <c r="BT210" s="5"/>
      <c r="BU210" s="6"/>
      <c r="BV210" s="1"/>
      <c r="BW210" s="1"/>
      <c r="BX210" s="1"/>
      <c r="BY210" s="1"/>
      <c r="BZ210" s="1"/>
      <c r="CA210" s="1"/>
      <c r="CB210" s="1"/>
      <c r="CC210" s="1"/>
      <c r="CD210" s="1"/>
      <c r="CE210" s="1"/>
      <c r="CF210" s="1"/>
      <c r="CG210" s="1"/>
      <c r="CH210" s="1"/>
      <c r="CI210" s="1"/>
      <c r="CJ210" s="1"/>
      <c r="CK210" s="1"/>
      <c r="CL210" s="1"/>
      <c r="CM210" s="1"/>
      <c r="CN210" s="1"/>
      <c r="CO210" s="1"/>
      <c r="CP210" s="1"/>
    </row>
    <row r="211" ht="11.25" customHeight="1">
      <c r="A211" s="1"/>
      <c r="B211" s="1"/>
      <c r="C211" s="11"/>
      <c r="D211" s="12"/>
      <c r="E211" s="12"/>
      <c r="F211" s="12"/>
      <c r="G211" s="12"/>
      <c r="H211" s="12"/>
      <c r="I211" s="12"/>
      <c r="J211" s="12"/>
      <c r="K211" s="12"/>
      <c r="L211" s="12"/>
      <c r="M211" s="12"/>
      <c r="N211" s="12"/>
      <c r="O211" s="12"/>
      <c r="P211" s="12"/>
      <c r="Q211" s="12"/>
      <c r="R211" s="12"/>
      <c r="S211" s="13"/>
      <c r="T211" s="1"/>
      <c r="U211" s="11"/>
      <c r="V211" s="12"/>
      <c r="W211" s="12"/>
      <c r="X211" s="12"/>
      <c r="Y211" s="12"/>
      <c r="Z211" s="12"/>
      <c r="AA211" s="12"/>
      <c r="AB211" s="12"/>
      <c r="AC211" s="12"/>
      <c r="AD211" s="12"/>
      <c r="AE211" s="12"/>
      <c r="AF211" s="12"/>
      <c r="AG211" s="12"/>
      <c r="AH211" s="12"/>
      <c r="AI211" s="12"/>
      <c r="AJ211" s="12"/>
      <c r="AK211" s="13"/>
      <c r="AL211" s="1"/>
      <c r="AM211" s="11"/>
      <c r="AN211" s="12"/>
      <c r="AO211" s="12"/>
      <c r="AP211" s="12"/>
      <c r="AQ211" s="12"/>
      <c r="AR211" s="12"/>
      <c r="AS211" s="12"/>
      <c r="AT211" s="12"/>
      <c r="AU211" s="12"/>
      <c r="AV211" s="12"/>
      <c r="AW211" s="12"/>
      <c r="AX211" s="12"/>
      <c r="AY211" s="12"/>
      <c r="AZ211" s="12"/>
      <c r="BA211" s="12"/>
      <c r="BB211" s="12"/>
      <c r="BC211" s="13"/>
      <c r="BD211" s="1"/>
      <c r="BE211" s="11"/>
      <c r="BF211" s="12"/>
      <c r="BG211" s="12"/>
      <c r="BH211" s="12"/>
      <c r="BI211" s="12"/>
      <c r="BJ211" s="12"/>
      <c r="BK211" s="12"/>
      <c r="BL211" s="12"/>
      <c r="BM211" s="12"/>
      <c r="BN211" s="12"/>
      <c r="BO211" s="12"/>
      <c r="BP211" s="12"/>
      <c r="BQ211" s="12"/>
      <c r="BR211" s="12"/>
      <c r="BS211" s="12"/>
      <c r="BT211" s="12"/>
      <c r="BU211" s="13"/>
      <c r="BV211" s="1"/>
      <c r="BW211" s="1"/>
      <c r="BX211" s="1"/>
      <c r="BY211" s="1"/>
      <c r="BZ211" s="1"/>
      <c r="CA211" s="1"/>
      <c r="CB211" s="1"/>
      <c r="CC211" s="1"/>
      <c r="CD211" s="1"/>
      <c r="CE211" s="1"/>
      <c r="CF211" s="1"/>
      <c r="CG211" s="1"/>
      <c r="CH211" s="1"/>
      <c r="CI211" s="1"/>
      <c r="CJ211" s="1"/>
      <c r="CK211" s="1"/>
      <c r="CL211" s="1"/>
      <c r="CM211" s="1"/>
      <c r="CN211" s="1"/>
      <c r="CO211" s="1"/>
      <c r="CP211" s="1"/>
    </row>
    <row r="212" ht="11.25" customHeight="1">
      <c r="A212" s="1"/>
      <c r="B212" s="1"/>
      <c r="C212" s="70" t="str">
        <f>IF($AC$9&gt;=R$208,"1/[Encounter] IMMEDIATE: Reroll a failed save","")</f>
        <v/>
      </c>
      <c r="S212" s="34"/>
      <c r="T212" s="71"/>
      <c r="U212" s="70" t="str">
        <f>IF($AC$9&gt;=AJ$208,CONCATENATE("+",$AC$9," Initiative"),"")</f>
        <v/>
      </c>
      <c r="AK212" s="34"/>
      <c r="AL212" s="71"/>
      <c r="AM212" s="72" t="str">
        <f>IF($AC$9&gt;=BB208,"Careful Sun: [Binding] [Immunity]","")</f>
        <v/>
      </c>
      <c r="AN212" s="5"/>
      <c r="AO212" s="5"/>
      <c r="AP212" s="5"/>
      <c r="AQ212" s="5"/>
      <c r="AR212" s="5"/>
      <c r="AS212" s="5"/>
      <c r="AT212" s="5"/>
      <c r="AU212" s="5"/>
      <c r="AV212" s="5"/>
      <c r="AW212" s="5"/>
      <c r="AX212" s="5"/>
      <c r="AY212" s="5"/>
      <c r="AZ212" s="5"/>
      <c r="BA212" s="5"/>
      <c r="BB212" s="5"/>
      <c r="BC212" s="6"/>
      <c r="BD212" s="1"/>
      <c r="BE212" s="70" t="str">
        <f>IF($AC$9&gt;=BT$208,CONCATENATE("1/[Encounter] per creature: On using a TRUE ability without learning a Truename, creature is [Oathsworn]",char(10),"On an [Oathswarn] creature targeting me, Will or negate one offensive action"),"")</f>
        <v/>
      </c>
      <c r="BU212" s="34"/>
      <c r="BV212" s="1"/>
      <c r="BW212" s="1"/>
      <c r="BX212" s="1"/>
      <c r="BY212" s="1"/>
      <c r="BZ212" s="1"/>
      <c r="CA212" s="1"/>
      <c r="CB212" s="1"/>
      <c r="CC212" s="1"/>
      <c r="CD212" s="1"/>
      <c r="CE212" s="1"/>
      <c r="CF212" s="1"/>
      <c r="CG212" s="1"/>
      <c r="CH212" s="1"/>
      <c r="CI212" s="1"/>
      <c r="CJ212" s="1"/>
      <c r="CK212" s="1"/>
      <c r="CL212" s="1"/>
      <c r="CM212" s="1"/>
      <c r="CN212" s="1"/>
      <c r="CO212" s="1"/>
      <c r="CP212" s="1"/>
    </row>
    <row r="213" ht="11.25" customHeight="1">
      <c r="A213" s="1"/>
      <c r="B213" s="1"/>
      <c r="C213" s="59"/>
      <c r="S213" s="34"/>
      <c r="T213" s="71"/>
      <c r="U213" s="59"/>
      <c r="AK213" s="34"/>
      <c r="AL213" s="71"/>
      <c r="AM213" s="59"/>
      <c r="BC213" s="34"/>
      <c r="BD213" s="1"/>
      <c r="BE213" s="59"/>
      <c r="BU213" s="34"/>
      <c r="BV213" s="1"/>
      <c r="BW213" s="1"/>
      <c r="BX213" s="1"/>
      <c r="BY213" s="1"/>
      <c r="BZ213" s="1"/>
      <c r="CA213" s="1"/>
      <c r="CB213" s="1"/>
      <c r="CC213" s="1"/>
      <c r="CD213" s="1"/>
      <c r="CE213" s="1"/>
      <c r="CF213" s="1"/>
      <c r="CG213" s="1"/>
      <c r="CH213" s="1"/>
      <c r="CI213" s="1"/>
      <c r="CJ213" s="1"/>
      <c r="CK213" s="1"/>
      <c r="CL213" s="1"/>
      <c r="CM213" s="1"/>
      <c r="CN213" s="1"/>
      <c r="CO213" s="1"/>
      <c r="CP213" s="1"/>
    </row>
    <row r="214" ht="11.25" customHeight="1">
      <c r="A214" s="1"/>
      <c r="B214" s="1"/>
      <c r="C214" s="59"/>
      <c r="S214" s="34"/>
      <c r="T214" s="71"/>
      <c r="U214" s="59"/>
      <c r="AK214" s="34"/>
      <c r="AL214" s="71"/>
      <c r="AM214" s="59"/>
      <c r="BC214" s="34"/>
      <c r="BD214" s="1"/>
      <c r="BE214" s="59"/>
      <c r="BU214" s="34"/>
      <c r="BV214" s="1"/>
      <c r="BW214" s="1"/>
      <c r="BX214" s="1"/>
      <c r="BY214" s="1"/>
      <c r="BZ214" s="1"/>
      <c r="CA214" s="1"/>
      <c r="CB214" s="1"/>
      <c r="CC214" s="1"/>
      <c r="CD214" s="1"/>
      <c r="CE214" s="1"/>
      <c r="CF214" s="1"/>
      <c r="CG214" s="1"/>
      <c r="CH214" s="1"/>
      <c r="CI214" s="1"/>
      <c r="CJ214" s="1"/>
      <c r="CK214" s="1"/>
      <c r="CL214" s="1"/>
      <c r="CM214" s="1"/>
      <c r="CN214" s="1"/>
      <c r="CO214" s="1"/>
      <c r="CP214" s="1"/>
    </row>
    <row r="215" ht="11.25" customHeight="1">
      <c r="A215" s="1"/>
      <c r="B215" s="1"/>
      <c r="C215" s="59"/>
      <c r="S215" s="34"/>
      <c r="T215" s="71"/>
      <c r="U215" s="59"/>
      <c r="AK215" s="34"/>
      <c r="AL215" s="71"/>
      <c r="AM215" s="59"/>
      <c r="BC215" s="34"/>
      <c r="BD215" s="1"/>
      <c r="BE215" s="59"/>
      <c r="BU215" s="34"/>
      <c r="BV215" s="1"/>
      <c r="BW215" s="1"/>
      <c r="BX215" s="1"/>
      <c r="BY215" s="1"/>
      <c r="BZ215" s="1"/>
      <c r="CA215" s="1"/>
      <c r="CB215" s="1"/>
      <c r="CC215" s="1"/>
      <c r="CD215" s="1"/>
      <c r="CE215" s="1"/>
      <c r="CF215" s="1"/>
      <c r="CG215" s="1"/>
      <c r="CH215" s="1"/>
      <c r="CI215" s="1"/>
      <c r="CJ215" s="1"/>
      <c r="CK215" s="1"/>
      <c r="CL215" s="1"/>
      <c r="CM215" s="1"/>
      <c r="CN215" s="1"/>
      <c r="CO215" s="1"/>
      <c r="CP215" s="1"/>
    </row>
    <row r="216" ht="11.25" customHeight="1">
      <c r="A216" s="1"/>
      <c r="B216" s="1"/>
      <c r="C216" s="59"/>
      <c r="S216" s="34"/>
      <c r="T216" s="71"/>
      <c r="U216" s="59"/>
      <c r="AK216" s="34"/>
      <c r="AL216" s="71"/>
      <c r="AM216" s="59"/>
      <c r="BC216" s="34"/>
      <c r="BD216" s="1"/>
      <c r="BE216" s="59"/>
      <c r="BU216" s="34"/>
      <c r="BV216" s="1"/>
      <c r="BW216" s="1"/>
      <c r="BX216" s="1"/>
      <c r="BY216" s="1"/>
      <c r="BZ216" s="1"/>
      <c r="CA216" s="1"/>
      <c r="CB216" s="1"/>
      <c r="CC216" s="1"/>
      <c r="CD216" s="1"/>
      <c r="CE216" s="1"/>
      <c r="CF216" s="1"/>
      <c r="CG216" s="1"/>
      <c r="CH216" s="1"/>
      <c r="CI216" s="1"/>
      <c r="CJ216" s="1"/>
      <c r="CK216" s="1"/>
      <c r="CL216" s="1"/>
      <c r="CM216" s="1"/>
      <c r="CN216" s="1"/>
      <c r="CO216" s="1"/>
      <c r="CP216" s="1"/>
    </row>
    <row r="217" ht="11.25" customHeight="1">
      <c r="A217" s="1"/>
      <c r="B217" s="1"/>
      <c r="C217" s="59"/>
      <c r="S217" s="34"/>
      <c r="T217" s="71"/>
      <c r="U217" s="59"/>
      <c r="AK217" s="34"/>
      <c r="AL217" s="71"/>
      <c r="AM217" s="59"/>
      <c r="BC217" s="34"/>
      <c r="BD217" s="1"/>
      <c r="BE217" s="59"/>
      <c r="BU217" s="34"/>
      <c r="BV217" s="1"/>
      <c r="BW217" s="1"/>
      <c r="BX217" s="1"/>
      <c r="BY217" s="1"/>
      <c r="BZ217" s="1"/>
      <c r="CA217" s="1"/>
      <c r="CB217" s="1"/>
      <c r="CC217" s="1"/>
      <c r="CD217" s="1"/>
      <c r="CE217" s="1"/>
      <c r="CF217" s="1"/>
      <c r="CG217" s="1"/>
      <c r="CH217" s="1"/>
      <c r="CI217" s="1"/>
      <c r="CJ217" s="1"/>
      <c r="CK217" s="1"/>
      <c r="CL217" s="1"/>
      <c r="CM217" s="1"/>
      <c r="CN217" s="1"/>
      <c r="CO217" s="1"/>
      <c r="CP217" s="1"/>
    </row>
    <row r="218" ht="11.25" customHeight="1">
      <c r="A218" s="1"/>
      <c r="B218" s="1"/>
      <c r="C218" s="59"/>
      <c r="S218" s="34"/>
      <c r="T218" s="71"/>
      <c r="U218" s="59"/>
      <c r="AK218" s="34"/>
      <c r="AL218" s="71"/>
      <c r="AM218" s="59"/>
      <c r="BC218" s="34"/>
      <c r="BD218" s="1"/>
      <c r="BE218" s="59"/>
      <c r="BU218" s="34"/>
      <c r="BV218" s="1"/>
      <c r="BW218" s="1"/>
      <c r="BX218" s="1"/>
      <c r="BY218" s="1"/>
      <c r="BZ218" s="1"/>
      <c r="CA218" s="1"/>
      <c r="CB218" s="1"/>
      <c r="CC218" s="1"/>
      <c r="CD218" s="1"/>
      <c r="CE218" s="1"/>
      <c r="CF218" s="1"/>
      <c r="CG218" s="1"/>
      <c r="CH218" s="1"/>
      <c r="CI218" s="1"/>
      <c r="CJ218" s="1"/>
      <c r="CK218" s="1"/>
      <c r="CL218" s="1"/>
      <c r="CM218" s="1"/>
      <c r="CN218" s="1"/>
      <c r="CO218" s="1"/>
      <c r="CP218" s="1"/>
    </row>
    <row r="219" ht="11.25" customHeight="1">
      <c r="A219" s="1"/>
      <c r="B219" s="1"/>
      <c r="C219" s="11"/>
      <c r="D219" s="12"/>
      <c r="E219" s="12"/>
      <c r="F219" s="12"/>
      <c r="G219" s="12"/>
      <c r="H219" s="12"/>
      <c r="I219" s="12"/>
      <c r="J219" s="12"/>
      <c r="K219" s="12"/>
      <c r="L219" s="12"/>
      <c r="M219" s="12"/>
      <c r="N219" s="12"/>
      <c r="O219" s="12"/>
      <c r="P219" s="12"/>
      <c r="Q219" s="12"/>
      <c r="R219" s="12"/>
      <c r="S219" s="13"/>
      <c r="T219" s="71"/>
      <c r="U219" s="11"/>
      <c r="V219" s="12"/>
      <c r="W219" s="12"/>
      <c r="X219" s="12"/>
      <c r="Y219" s="12"/>
      <c r="Z219" s="12"/>
      <c r="AA219" s="12"/>
      <c r="AB219" s="12"/>
      <c r="AC219" s="12"/>
      <c r="AD219" s="12"/>
      <c r="AE219" s="12"/>
      <c r="AF219" s="12"/>
      <c r="AG219" s="12"/>
      <c r="AH219" s="12"/>
      <c r="AI219" s="12"/>
      <c r="AJ219" s="12"/>
      <c r="AK219" s="13"/>
      <c r="AL219" s="71"/>
      <c r="AM219" s="11"/>
      <c r="AN219" s="12"/>
      <c r="AO219" s="12"/>
      <c r="AP219" s="12"/>
      <c r="AQ219" s="12"/>
      <c r="AR219" s="12"/>
      <c r="AS219" s="12"/>
      <c r="AT219" s="12"/>
      <c r="AU219" s="12"/>
      <c r="AV219" s="12"/>
      <c r="AW219" s="12"/>
      <c r="AX219" s="12"/>
      <c r="AY219" s="12"/>
      <c r="AZ219" s="12"/>
      <c r="BA219" s="12"/>
      <c r="BB219" s="12"/>
      <c r="BC219" s="13"/>
      <c r="BD219" s="1"/>
      <c r="BE219" s="11"/>
      <c r="BF219" s="12"/>
      <c r="BG219" s="12"/>
      <c r="BH219" s="12"/>
      <c r="BI219" s="12"/>
      <c r="BJ219" s="12"/>
      <c r="BK219" s="12"/>
      <c r="BL219" s="12"/>
      <c r="BM219" s="12"/>
      <c r="BN219" s="12"/>
      <c r="BO219" s="12"/>
      <c r="BP219" s="12"/>
      <c r="BQ219" s="12"/>
      <c r="BR219" s="12"/>
      <c r="BS219" s="12"/>
      <c r="BT219" s="12"/>
      <c r="BU219" s="13"/>
      <c r="BV219" s="1"/>
      <c r="BW219" s="1"/>
      <c r="BX219" s="1"/>
      <c r="BY219" s="1"/>
      <c r="BZ219" s="1"/>
      <c r="CA219" s="1"/>
      <c r="CB219" s="1"/>
      <c r="CC219" s="1"/>
      <c r="CD219" s="1"/>
      <c r="CE219" s="1"/>
      <c r="CF219" s="1"/>
      <c r="CG219" s="1"/>
      <c r="CH219" s="1"/>
      <c r="CI219" s="1"/>
      <c r="CJ219" s="1"/>
      <c r="CK219" s="1"/>
      <c r="CL219" s="1"/>
      <c r="CM219" s="1"/>
      <c r="CN219" s="1"/>
      <c r="CO219" s="1"/>
      <c r="CP219" s="1"/>
    </row>
    <row r="220" ht="11.25" customHeight="1">
      <c r="A220" s="1"/>
      <c r="B220" s="1"/>
      <c r="C220" s="1"/>
      <c r="D220" s="1"/>
      <c r="E220" s="1"/>
      <c r="F220" s="1"/>
      <c r="G220" s="1"/>
      <c r="H220" s="1"/>
      <c r="I220" s="1"/>
      <c r="J220" s="1"/>
      <c r="K220" s="1"/>
      <c r="L220" s="1"/>
      <c r="M220" s="1"/>
      <c r="N220" s="1"/>
      <c r="O220" s="1"/>
      <c r="P220" s="1"/>
      <c r="Q220" s="1"/>
      <c r="R220" s="20" t="s">
        <v>48</v>
      </c>
      <c r="T220" s="1"/>
      <c r="U220" s="1"/>
      <c r="V220" s="1"/>
      <c r="W220" s="1"/>
      <c r="X220" s="1"/>
      <c r="Y220" s="1"/>
      <c r="Z220" s="1"/>
      <c r="AA220" s="1"/>
      <c r="AB220" s="1"/>
      <c r="AC220" s="1"/>
      <c r="AD220" s="1"/>
      <c r="AE220" s="1"/>
      <c r="AF220" s="1"/>
      <c r="AG220" s="1"/>
      <c r="AH220" s="1"/>
      <c r="AI220" s="1"/>
      <c r="AJ220" s="20" t="s">
        <v>48</v>
      </c>
      <c r="AL220" s="1"/>
      <c r="AM220" s="1"/>
      <c r="AN220" s="1"/>
      <c r="AO220" s="1"/>
      <c r="AP220" s="1"/>
      <c r="AQ220" s="1"/>
      <c r="AR220" s="1"/>
      <c r="AS220" s="1"/>
      <c r="AT220" s="1"/>
      <c r="AU220" s="1"/>
      <c r="AV220" s="1"/>
      <c r="AW220" s="1"/>
      <c r="AX220" s="1"/>
      <c r="AY220" s="1"/>
      <c r="AZ220" s="1"/>
      <c r="BA220" s="1"/>
      <c r="BB220" s="20" t="s">
        <v>48</v>
      </c>
      <c r="BD220" s="1"/>
      <c r="BE220" s="1"/>
      <c r="BF220" s="1"/>
      <c r="BG220" s="1"/>
      <c r="BH220" s="1"/>
      <c r="BI220" s="1"/>
      <c r="BJ220" s="1"/>
      <c r="BK220" s="1"/>
      <c r="BL220" s="1"/>
      <c r="BM220" s="1"/>
      <c r="BN220" s="1"/>
      <c r="BO220" s="1"/>
      <c r="BP220" s="1"/>
      <c r="BQ220" s="1"/>
      <c r="BR220" s="1"/>
      <c r="BS220" s="1"/>
      <c r="BT220" s="20" t="s">
        <v>48</v>
      </c>
      <c r="BV220" s="1"/>
      <c r="BW220" s="1"/>
      <c r="BX220" s="1"/>
      <c r="BY220" s="1"/>
      <c r="BZ220" s="1"/>
      <c r="CA220" s="1"/>
      <c r="CB220" s="1"/>
      <c r="CC220" s="1"/>
      <c r="CD220" s="1"/>
      <c r="CE220" s="1"/>
      <c r="CF220" s="1"/>
      <c r="CG220" s="1"/>
      <c r="CH220" s="1"/>
      <c r="CI220" s="1"/>
      <c r="CJ220" s="1"/>
      <c r="CK220" s="1"/>
      <c r="CL220" s="1"/>
      <c r="CM220" s="1"/>
      <c r="CN220" s="1"/>
      <c r="CO220" s="1"/>
      <c r="CP220" s="1"/>
    </row>
    <row r="221" ht="11.25" customHeight="1">
      <c r="A221" s="1"/>
      <c r="B221" s="1"/>
      <c r="C221" s="4" t="s">
        <v>187</v>
      </c>
      <c r="D221" s="5"/>
      <c r="E221" s="5"/>
      <c r="F221" s="5"/>
      <c r="G221" s="5"/>
      <c r="H221" s="5"/>
      <c r="I221" s="5"/>
      <c r="J221" s="5"/>
      <c r="K221" s="5"/>
      <c r="L221" s="5"/>
      <c r="M221" s="5"/>
      <c r="N221" s="5"/>
      <c r="O221" s="5"/>
      <c r="P221" s="5"/>
      <c r="Q221" s="6"/>
      <c r="R221" s="4">
        <f>SWITCH(C$148,"Fast Track",15,"Slow Track",17,16)</f>
        <v>15</v>
      </c>
      <c r="S221" s="6"/>
      <c r="T221" s="1"/>
      <c r="U221" s="4" t="s">
        <v>187</v>
      </c>
      <c r="V221" s="5"/>
      <c r="W221" s="5"/>
      <c r="X221" s="5"/>
      <c r="Y221" s="5"/>
      <c r="Z221" s="5"/>
      <c r="AA221" s="5"/>
      <c r="AB221" s="5"/>
      <c r="AC221" s="5"/>
      <c r="AD221" s="5"/>
      <c r="AE221" s="5"/>
      <c r="AF221" s="5"/>
      <c r="AG221" s="5"/>
      <c r="AH221" s="5"/>
      <c r="AI221" s="6"/>
      <c r="AJ221" s="4">
        <f>SWITCH(U$148,"Fast Track",15,"Slow Track",17,16)</f>
        <v>16</v>
      </c>
      <c r="AK221" s="6"/>
      <c r="AL221" s="1"/>
      <c r="AM221" s="4" t="s">
        <v>187</v>
      </c>
      <c r="AN221" s="5"/>
      <c r="AO221" s="5"/>
      <c r="AP221" s="5"/>
      <c r="AQ221" s="5"/>
      <c r="AR221" s="5"/>
      <c r="AS221" s="5"/>
      <c r="AT221" s="5"/>
      <c r="AU221" s="5"/>
      <c r="AV221" s="5"/>
      <c r="AW221" s="5"/>
      <c r="AX221" s="5"/>
      <c r="AY221" s="5"/>
      <c r="AZ221" s="5"/>
      <c r="BA221" s="6"/>
      <c r="BB221" s="4">
        <f>SWITCH(AM$148,"Fast Track",15,"Slow Track",17,16)</f>
        <v>17</v>
      </c>
      <c r="BC221" s="6"/>
      <c r="BD221" s="1"/>
      <c r="BE221" s="4" t="s">
        <v>187</v>
      </c>
      <c r="BF221" s="5"/>
      <c r="BG221" s="5"/>
      <c r="BH221" s="5"/>
      <c r="BI221" s="5"/>
      <c r="BJ221" s="5"/>
      <c r="BK221" s="5"/>
      <c r="BL221" s="5"/>
      <c r="BM221" s="5"/>
      <c r="BN221" s="5"/>
      <c r="BO221" s="5"/>
      <c r="BP221" s="5"/>
      <c r="BQ221" s="5"/>
      <c r="BR221" s="5"/>
      <c r="BS221" s="6"/>
      <c r="BT221" s="4">
        <f>SWITCH(BE$148,"Fast Track",15,"Slow Track",17,16)</f>
        <v>16</v>
      </c>
      <c r="BU221" s="6"/>
      <c r="BV221" s="1"/>
      <c r="BW221" s="1"/>
      <c r="BX221" s="1"/>
      <c r="BY221" s="1"/>
      <c r="BZ221" s="1"/>
      <c r="CA221" s="1"/>
      <c r="CB221" s="1"/>
      <c r="CC221" s="1"/>
      <c r="CD221" s="1"/>
      <c r="CE221" s="1"/>
      <c r="CF221" s="1"/>
      <c r="CG221" s="1"/>
      <c r="CH221" s="1"/>
      <c r="CI221" s="1"/>
      <c r="CJ221" s="1"/>
      <c r="CK221" s="1"/>
      <c r="CL221" s="1"/>
      <c r="CM221" s="1"/>
      <c r="CN221" s="1"/>
      <c r="CO221" s="1"/>
      <c r="CP221" s="1"/>
    </row>
    <row r="222" ht="11.25" customHeight="1">
      <c r="A222" s="1"/>
      <c r="B222" s="1"/>
      <c r="C222" s="11"/>
      <c r="D222" s="12"/>
      <c r="E222" s="12"/>
      <c r="F222" s="12"/>
      <c r="G222" s="12"/>
      <c r="H222" s="12"/>
      <c r="I222" s="12"/>
      <c r="J222" s="12"/>
      <c r="K222" s="12"/>
      <c r="L222" s="12"/>
      <c r="M222" s="12"/>
      <c r="N222" s="12"/>
      <c r="O222" s="12"/>
      <c r="P222" s="12"/>
      <c r="Q222" s="13"/>
      <c r="R222" s="11"/>
      <c r="S222" s="13"/>
      <c r="T222" s="1"/>
      <c r="U222" s="11"/>
      <c r="V222" s="12"/>
      <c r="W222" s="12"/>
      <c r="X222" s="12"/>
      <c r="Y222" s="12"/>
      <c r="Z222" s="12"/>
      <c r="AA222" s="12"/>
      <c r="AB222" s="12"/>
      <c r="AC222" s="12"/>
      <c r="AD222" s="12"/>
      <c r="AE222" s="12"/>
      <c r="AF222" s="12"/>
      <c r="AG222" s="12"/>
      <c r="AH222" s="12"/>
      <c r="AI222" s="13"/>
      <c r="AJ222" s="11"/>
      <c r="AK222" s="13"/>
      <c r="AL222" s="1"/>
      <c r="AM222" s="11"/>
      <c r="AN222" s="12"/>
      <c r="AO222" s="12"/>
      <c r="AP222" s="12"/>
      <c r="AQ222" s="12"/>
      <c r="AR222" s="12"/>
      <c r="AS222" s="12"/>
      <c r="AT222" s="12"/>
      <c r="AU222" s="12"/>
      <c r="AV222" s="12"/>
      <c r="AW222" s="12"/>
      <c r="AX222" s="12"/>
      <c r="AY222" s="12"/>
      <c r="AZ222" s="12"/>
      <c r="BA222" s="13"/>
      <c r="BB222" s="11"/>
      <c r="BC222" s="13"/>
      <c r="BD222" s="1"/>
      <c r="BE222" s="11"/>
      <c r="BF222" s="12"/>
      <c r="BG222" s="12"/>
      <c r="BH222" s="12"/>
      <c r="BI222" s="12"/>
      <c r="BJ222" s="12"/>
      <c r="BK222" s="12"/>
      <c r="BL222" s="12"/>
      <c r="BM222" s="12"/>
      <c r="BN222" s="12"/>
      <c r="BO222" s="12"/>
      <c r="BP222" s="12"/>
      <c r="BQ222" s="12"/>
      <c r="BR222" s="12"/>
      <c r="BS222" s="13"/>
      <c r="BT222" s="11"/>
      <c r="BU222" s="13"/>
      <c r="BV222" s="1"/>
      <c r="BW222" s="1"/>
      <c r="BX222" s="1"/>
      <c r="BY222" s="1"/>
      <c r="BZ222" s="1"/>
      <c r="CA222" s="1"/>
      <c r="CB222" s="1"/>
      <c r="CC222" s="1"/>
      <c r="CD222" s="1"/>
      <c r="CE222" s="1"/>
      <c r="CF222" s="1"/>
      <c r="CG222" s="1"/>
      <c r="CH222" s="1"/>
      <c r="CI222" s="1"/>
      <c r="CJ222" s="1"/>
      <c r="CK222" s="1"/>
      <c r="CL222" s="1"/>
      <c r="CM222" s="1"/>
      <c r="CN222" s="1"/>
      <c r="CO222" s="1"/>
      <c r="CP222" s="1"/>
    </row>
    <row r="223" ht="11.25" customHeight="1">
      <c r="A223" s="1"/>
      <c r="B223" s="1"/>
      <c r="C223" s="73" t="str">
        <f>IF($AC$9&gt;=R$221,"Greater Readiness","")</f>
        <v/>
      </c>
      <c r="D223" s="5"/>
      <c r="E223" s="5"/>
      <c r="F223" s="5"/>
      <c r="G223" s="5"/>
      <c r="H223" s="5"/>
      <c r="I223" s="5"/>
      <c r="J223" s="5"/>
      <c r="K223" s="5"/>
      <c r="L223" s="5"/>
      <c r="M223" s="5"/>
      <c r="N223" s="5"/>
      <c r="O223" s="5"/>
      <c r="P223" s="5"/>
      <c r="Q223" s="5"/>
      <c r="R223" s="5"/>
      <c r="S223" s="6"/>
      <c r="T223" s="1"/>
      <c r="U223" s="73" t="str">
        <f>IF($AC$9&gt;=AJ$221,"Never Stop Hunting","")</f>
        <v/>
      </c>
      <c r="V223" s="5"/>
      <c r="W223" s="5"/>
      <c r="X223" s="5"/>
      <c r="Y223" s="5"/>
      <c r="Z223" s="5"/>
      <c r="AA223" s="5"/>
      <c r="AB223" s="5"/>
      <c r="AC223" s="5"/>
      <c r="AD223" s="5"/>
      <c r="AE223" s="5"/>
      <c r="AF223" s="5"/>
      <c r="AG223" s="5"/>
      <c r="AH223" s="5"/>
      <c r="AI223" s="5"/>
      <c r="AJ223" s="5"/>
      <c r="AK223" s="6"/>
      <c r="AL223" s="1"/>
      <c r="AM223" s="46" t="str">
        <f>IF($AC$9&gt;=BB221,"Jade Heart","")</f>
        <v/>
      </c>
      <c r="AN223" s="5"/>
      <c r="AO223" s="5"/>
      <c r="AP223" s="5"/>
      <c r="AQ223" s="5"/>
      <c r="AR223" s="5"/>
      <c r="AS223" s="5"/>
      <c r="AT223" s="5"/>
      <c r="AU223" s="5"/>
      <c r="AV223" s="5"/>
      <c r="AW223" s="5"/>
      <c r="AX223" s="5"/>
      <c r="AY223" s="5"/>
      <c r="AZ223" s="5"/>
      <c r="BA223" s="5"/>
      <c r="BB223" s="5"/>
      <c r="BC223" s="6"/>
      <c r="BD223" s="1"/>
      <c r="BE223" s="73" t="str">
        <f>IF($AC$9&gt;=BT$221,"Abjure","")</f>
        <v/>
      </c>
      <c r="BF223" s="5"/>
      <c r="BG223" s="5"/>
      <c r="BH223" s="5"/>
      <c r="BI223" s="5"/>
      <c r="BJ223" s="5"/>
      <c r="BK223" s="5"/>
      <c r="BL223" s="5"/>
      <c r="BM223" s="5"/>
      <c r="BN223" s="5"/>
      <c r="BO223" s="5"/>
      <c r="BP223" s="5"/>
      <c r="BQ223" s="5"/>
      <c r="BR223" s="5"/>
      <c r="BS223" s="5"/>
      <c r="BT223" s="5"/>
      <c r="BU223" s="6"/>
      <c r="BV223" s="1"/>
      <c r="BW223" s="1"/>
      <c r="BX223" s="1"/>
      <c r="BY223" s="1"/>
      <c r="BZ223" s="1"/>
      <c r="CA223" s="1"/>
      <c r="CB223" s="1"/>
      <c r="CC223" s="1"/>
      <c r="CD223" s="1"/>
      <c r="CE223" s="1"/>
      <c r="CF223" s="1"/>
      <c r="CG223" s="1"/>
      <c r="CH223" s="1"/>
      <c r="CI223" s="1"/>
      <c r="CJ223" s="1"/>
      <c r="CK223" s="1"/>
      <c r="CL223" s="1"/>
      <c r="CM223" s="1"/>
      <c r="CN223" s="1"/>
      <c r="CO223" s="1"/>
      <c r="CP223" s="1"/>
    </row>
    <row r="224" ht="11.25" customHeight="1">
      <c r="A224" s="1"/>
      <c r="B224" s="1"/>
      <c r="C224" s="11"/>
      <c r="D224" s="12"/>
      <c r="E224" s="12"/>
      <c r="F224" s="12"/>
      <c r="G224" s="12"/>
      <c r="H224" s="12"/>
      <c r="I224" s="12"/>
      <c r="J224" s="12"/>
      <c r="K224" s="12"/>
      <c r="L224" s="12"/>
      <c r="M224" s="12"/>
      <c r="N224" s="12"/>
      <c r="O224" s="12"/>
      <c r="P224" s="12"/>
      <c r="Q224" s="12"/>
      <c r="R224" s="12"/>
      <c r="S224" s="13"/>
      <c r="T224" s="1"/>
      <c r="U224" s="11"/>
      <c r="V224" s="12"/>
      <c r="W224" s="12"/>
      <c r="X224" s="12"/>
      <c r="Y224" s="12"/>
      <c r="Z224" s="12"/>
      <c r="AA224" s="12"/>
      <c r="AB224" s="12"/>
      <c r="AC224" s="12"/>
      <c r="AD224" s="12"/>
      <c r="AE224" s="12"/>
      <c r="AF224" s="12"/>
      <c r="AG224" s="12"/>
      <c r="AH224" s="12"/>
      <c r="AI224" s="12"/>
      <c r="AJ224" s="12"/>
      <c r="AK224" s="13"/>
      <c r="AL224" s="1"/>
      <c r="AM224" s="11"/>
      <c r="AN224" s="12"/>
      <c r="AO224" s="12"/>
      <c r="AP224" s="12"/>
      <c r="AQ224" s="12"/>
      <c r="AR224" s="12"/>
      <c r="AS224" s="12"/>
      <c r="AT224" s="12"/>
      <c r="AU224" s="12"/>
      <c r="AV224" s="12"/>
      <c r="AW224" s="12"/>
      <c r="AX224" s="12"/>
      <c r="AY224" s="12"/>
      <c r="AZ224" s="12"/>
      <c r="BA224" s="12"/>
      <c r="BB224" s="12"/>
      <c r="BC224" s="13"/>
      <c r="BD224" s="1"/>
      <c r="BE224" s="11"/>
      <c r="BF224" s="12"/>
      <c r="BG224" s="12"/>
      <c r="BH224" s="12"/>
      <c r="BI224" s="12"/>
      <c r="BJ224" s="12"/>
      <c r="BK224" s="12"/>
      <c r="BL224" s="12"/>
      <c r="BM224" s="12"/>
      <c r="BN224" s="12"/>
      <c r="BO224" s="12"/>
      <c r="BP224" s="12"/>
      <c r="BQ224" s="12"/>
      <c r="BR224" s="12"/>
      <c r="BS224" s="12"/>
      <c r="BT224" s="12"/>
      <c r="BU224" s="13"/>
      <c r="BV224" s="1"/>
      <c r="BW224" s="1"/>
      <c r="BX224" s="1"/>
      <c r="BY224" s="1"/>
      <c r="BZ224" s="1"/>
      <c r="CA224" s="1"/>
      <c r="CB224" s="1"/>
      <c r="CC224" s="1"/>
      <c r="CD224" s="1"/>
      <c r="CE224" s="1"/>
      <c r="CF224" s="1"/>
      <c r="CG224" s="1"/>
      <c r="CH224" s="1"/>
      <c r="CI224" s="1"/>
      <c r="CJ224" s="1"/>
      <c r="CK224" s="1"/>
      <c r="CL224" s="1"/>
      <c r="CM224" s="1"/>
      <c r="CN224" s="1"/>
      <c r="CO224" s="1"/>
      <c r="CP224" s="1"/>
    </row>
    <row r="225" ht="11.25" customHeight="1">
      <c r="A225" s="1"/>
      <c r="B225" s="1"/>
      <c r="C225" s="70" t="str">
        <f>IF($AC$9&gt;=R$221,"Always act in a surprise [Round]","")</f>
        <v/>
      </c>
      <c r="S225" s="34"/>
      <c r="T225" s="71"/>
      <c r="U225" s="70" t="str">
        <f>IF($AC$9&gt;=AJ$221,CONCATENATE("On a successful Perception, halve target's speed until my next turn",char(10),"Hunter of Seasons: [Fatigued], [Exhausted], [Prone] [Immunity]"),"")</f>
        <v/>
      </c>
      <c r="AK225" s="34"/>
      <c r="AL225" s="71"/>
      <c r="AM225" s="72" t="str">
        <f>IF($AC$9&gt;=BB221,"[Energy drained], [Vulnerability], [Negative] [Immunity]","")</f>
        <v/>
      </c>
      <c r="AN225" s="5"/>
      <c r="AO225" s="5"/>
      <c r="AP225" s="5"/>
      <c r="AQ225" s="5"/>
      <c r="AR225" s="5"/>
      <c r="AS225" s="5"/>
      <c r="AT225" s="5"/>
      <c r="AU225" s="5"/>
      <c r="AV225" s="5"/>
      <c r="AW225" s="5"/>
      <c r="AX225" s="5"/>
      <c r="AY225" s="5"/>
      <c r="AZ225" s="5"/>
      <c r="BA225" s="5"/>
      <c r="BB225" s="5"/>
      <c r="BC225" s="6"/>
      <c r="BD225" s="1"/>
      <c r="BE225" s="70" t="str">
        <f>IF($AC$9&gt;=BT$221,CONCATENATE("SWIFT TRUE: Will or make a creature within [Medium] range [Ethereal]",char(10),"[Ethereal] creatures have no line of sight or line of effect"),"")</f>
        <v/>
      </c>
      <c r="BU225" s="34"/>
      <c r="BV225" s="1"/>
      <c r="BW225" s="1"/>
      <c r="BX225" s="1"/>
      <c r="BY225" s="1"/>
      <c r="BZ225" s="1"/>
      <c r="CA225" s="1"/>
      <c r="CB225" s="1"/>
      <c r="CC225" s="1"/>
      <c r="CD225" s="1"/>
      <c r="CE225" s="1"/>
      <c r="CF225" s="1"/>
      <c r="CG225" s="1"/>
      <c r="CH225" s="1"/>
      <c r="CI225" s="1"/>
      <c r="CJ225" s="1"/>
      <c r="CK225" s="1"/>
      <c r="CL225" s="1"/>
      <c r="CM225" s="1"/>
      <c r="CN225" s="1"/>
      <c r="CO225" s="1"/>
      <c r="CP225" s="1"/>
    </row>
    <row r="226" ht="11.25" customHeight="1">
      <c r="A226" s="1"/>
      <c r="B226" s="1"/>
      <c r="C226" s="59"/>
      <c r="S226" s="34"/>
      <c r="T226" s="71"/>
      <c r="U226" s="59"/>
      <c r="AK226" s="34"/>
      <c r="AL226" s="71"/>
      <c r="AM226" s="59"/>
      <c r="BC226" s="34"/>
      <c r="BD226" s="1"/>
      <c r="BE226" s="59"/>
      <c r="BU226" s="34"/>
      <c r="BV226" s="1"/>
      <c r="BW226" s="1"/>
      <c r="BX226" s="1"/>
      <c r="BY226" s="1"/>
      <c r="BZ226" s="1"/>
      <c r="CA226" s="1"/>
      <c r="CB226" s="1"/>
      <c r="CC226" s="1"/>
      <c r="CD226" s="1"/>
      <c r="CE226" s="1"/>
      <c r="CF226" s="1"/>
      <c r="CG226" s="1"/>
      <c r="CH226" s="1"/>
      <c r="CI226" s="1"/>
      <c r="CJ226" s="1"/>
      <c r="CK226" s="1"/>
      <c r="CL226" s="1"/>
      <c r="CM226" s="1"/>
      <c r="CN226" s="1"/>
      <c r="CO226" s="1"/>
      <c r="CP226" s="1"/>
    </row>
    <row r="227" ht="11.25" customHeight="1">
      <c r="A227" s="1"/>
      <c r="B227" s="1"/>
      <c r="C227" s="59"/>
      <c r="S227" s="34"/>
      <c r="T227" s="71"/>
      <c r="U227" s="59"/>
      <c r="AK227" s="34"/>
      <c r="AL227" s="71"/>
      <c r="AM227" s="59"/>
      <c r="BC227" s="34"/>
      <c r="BD227" s="1"/>
      <c r="BE227" s="59"/>
      <c r="BU227" s="34"/>
      <c r="BV227" s="1"/>
      <c r="BW227" s="1"/>
      <c r="BX227" s="1"/>
      <c r="BY227" s="1"/>
      <c r="BZ227" s="1"/>
      <c r="CA227" s="1"/>
      <c r="CB227" s="1"/>
      <c r="CC227" s="1"/>
      <c r="CD227" s="1"/>
      <c r="CE227" s="1"/>
      <c r="CF227" s="1"/>
      <c r="CG227" s="1"/>
      <c r="CH227" s="1"/>
      <c r="CI227" s="1"/>
      <c r="CJ227" s="1"/>
      <c r="CK227" s="1"/>
      <c r="CL227" s="1"/>
      <c r="CM227" s="1"/>
      <c r="CN227" s="1"/>
      <c r="CO227" s="1"/>
      <c r="CP227" s="1"/>
    </row>
    <row r="228" ht="11.25" customHeight="1">
      <c r="A228" s="1"/>
      <c r="B228" s="1"/>
      <c r="C228" s="59"/>
      <c r="S228" s="34"/>
      <c r="T228" s="71"/>
      <c r="U228" s="59"/>
      <c r="AK228" s="34"/>
      <c r="AL228" s="71"/>
      <c r="AM228" s="59"/>
      <c r="BC228" s="34"/>
      <c r="BD228" s="1"/>
      <c r="BE228" s="59"/>
      <c r="BU228" s="34"/>
      <c r="BV228" s="1"/>
      <c r="BW228" s="1"/>
      <c r="BX228" s="1"/>
      <c r="BY228" s="1"/>
      <c r="BZ228" s="1"/>
      <c r="CA228" s="1"/>
      <c r="CB228" s="1"/>
      <c r="CC228" s="1"/>
      <c r="CD228" s="1"/>
      <c r="CE228" s="1"/>
      <c r="CF228" s="1"/>
      <c r="CG228" s="1"/>
      <c r="CH228" s="1"/>
      <c r="CI228" s="1"/>
      <c r="CJ228" s="1"/>
      <c r="CK228" s="1"/>
      <c r="CL228" s="1"/>
      <c r="CM228" s="1"/>
      <c r="CN228" s="1"/>
      <c r="CO228" s="1"/>
      <c r="CP228" s="1"/>
    </row>
    <row r="229" ht="11.25" customHeight="1">
      <c r="A229" s="1"/>
      <c r="B229" s="1"/>
      <c r="C229" s="59"/>
      <c r="S229" s="34"/>
      <c r="T229" s="71"/>
      <c r="U229" s="59"/>
      <c r="AK229" s="34"/>
      <c r="AL229" s="71"/>
      <c r="AM229" s="59"/>
      <c r="BC229" s="34"/>
      <c r="BD229" s="1"/>
      <c r="BE229" s="59"/>
      <c r="BU229" s="34"/>
      <c r="BV229" s="1"/>
      <c r="BW229" s="1"/>
      <c r="BX229" s="1"/>
      <c r="BY229" s="1"/>
      <c r="BZ229" s="1"/>
      <c r="CA229" s="1"/>
      <c r="CB229" s="1"/>
      <c r="CC229" s="1"/>
      <c r="CD229" s="1"/>
      <c r="CE229" s="1"/>
      <c r="CF229" s="1"/>
      <c r="CG229" s="1"/>
      <c r="CH229" s="1"/>
      <c r="CI229" s="1"/>
      <c r="CJ229" s="1"/>
      <c r="CK229" s="1"/>
      <c r="CL229" s="1"/>
      <c r="CM229" s="1"/>
      <c r="CN229" s="1"/>
      <c r="CO229" s="1"/>
      <c r="CP229" s="1"/>
    </row>
    <row r="230" ht="11.25" customHeight="1">
      <c r="A230" s="1"/>
      <c r="B230" s="1"/>
      <c r="C230" s="59"/>
      <c r="S230" s="34"/>
      <c r="T230" s="71"/>
      <c r="U230" s="59"/>
      <c r="AK230" s="34"/>
      <c r="AL230" s="71"/>
      <c r="AM230" s="59"/>
      <c r="BC230" s="34"/>
      <c r="BD230" s="1"/>
      <c r="BE230" s="59"/>
      <c r="BU230" s="34"/>
      <c r="BV230" s="1"/>
      <c r="BW230" s="1"/>
      <c r="BX230" s="1"/>
      <c r="BY230" s="1"/>
      <c r="BZ230" s="1"/>
      <c r="CA230" s="1"/>
      <c r="CB230" s="1"/>
      <c r="CC230" s="1"/>
      <c r="CD230" s="1"/>
      <c r="CE230" s="1"/>
      <c r="CF230" s="1"/>
      <c r="CG230" s="1"/>
      <c r="CH230" s="1"/>
      <c r="CI230" s="1"/>
      <c r="CJ230" s="1"/>
      <c r="CK230" s="1"/>
      <c r="CL230" s="1"/>
      <c r="CM230" s="1"/>
      <c r="CN230" s="1"/>
      <c r="CO230" s="1"/>
      <c r="CP230" s="1"/>
    </row>
    <row r="231" ht="11.25" customHeight="1">
      <c r="A231" s="1"/>
      <c r="B231" s="1"/>
      <c r="C231" s="59"/>
      <c r="S231" s="34"/>
      <c r="T231" s="71"/>
      <c r="U231" s="59"/>
      <c r="AK231" s="34"/>
      <c r="AL231" s="71"/>
      <c r="AM231" s="59"/>
      <c r="BC231" s="34"/>
      <c r="BD231" s="1"/>
      <c r="BE231" s="59"/>
      <c r="BU231" s="34"/>
      <c r="BV231" s="1"/>
      <c r="BW231" s="1"/>
      <c r="BX231" s="1"/>
      <c r="BY231" s="1"/>
      <c r="BZ231" s="1"/>
      <c r="CA231" s="1"/>
      <c r="CB231" s="1"/>
      <c r="CC231" s="1"/>
      <c r="CD231" s="1"/>
      <c r="CE231" s="1"/>
      <c r="CF231" s="1"/>
      <c r="CG231" s="1"/>
      <c r="CH231" s="1"/>
      <c r="CI231" s="1"/>
      <c r="CJ231" s="1"/>
      <c r="CK231" s="1"/>
      <c r="CL231" s="1"/>
      <c r="CM231" s="1"/>
      <c r="CN231" s="1"/>
      <c r="CO231" s="1"/>
      <c r="CP231" s="1"/>
    </row>
    <row r="232" ht="11.25" customHeight="1">
      <c r="A232" s="1"/>
      <c r="B232" s="1"/>
      <c r="C232" s="11"/>
      <c r="D232" s="12"/>
      <c r="E232" s="12"/>
      <c r="F232" s="12"/>
      <c r="G232" s="12"/>
      <c r="H232" s="12"/>
      <c r="I232" s="12"/>
      <c r="J232" s="12"/>
      <c r="K232" s="12"/>
      <c r="L232" s="12"/>
      <c r="M232" s="12"/>
      <c r="N232" s="12"/>
      <c r="O232" s="12"/>
      <c r="P232" s="12"/>
      <c r="Q232" s="12"/>
      <c r="R232" s="12"/>
      <c r="S232" s="13"/>
      <c r="T232" s="71"/>
      <c r="U232" s="11"/>
      <c r="V232" s="12"/>
      <c r="W232" s="12"/>
      <c r="X232" s="12"/>
      <c r="Y232" s="12"/>
      <c r="Z232" s="12"/>
      <c r="AA232" s="12"/>
      <c r="AB232" s="12"/>
      <c r="AC232" s="12"/>
      <c r="AD232" s="12"/>
      <c r="AE232" s="12"/>
      <c r="AF232" s="12"/>
      <c r="AG232" s="12"/>
      <c r="AH232" s="12"/>
      <c r="AI232" s="12"/>
      <c r="AJ232" s="12"/>
      <c r="AK232" s="13"/>
      <c r="AL232" s="71"/>
      <c r="AM232" s="11"/>
      <c r="AN232" s="12"/>
      <c r="AO232" s="12"/>
      <c r="AP232" s="12"/>
      <c r="AQ232" s="12"/>
      <c r="AR232" s="12"/>
      <c r="AS232" s="12"/>
      <c r="AT232" s="12"/>
      <c r="AU232" s="12"/>
      <c r="AV232" s="12"/>
      <c r="AW232" s="12"/>
      <c r="AX232" s="12"/>
      <c r="AY232" s="12"/>
      <c r="AZ232" s="12"/>
      <c r="BA232" s="12"/>
      <c r="BB232" s="12"/>
      <c r="BC232" s="13"/>
      <c r="BD232" s="1"/>
      <c r="BE232" s="11"/>
      <c r="BF232" s="12"/>
      <c r="BG232" s="12"/>
      <c r="BH232" s="12"/>
      <c r="BI232" s="12"/>
      <c r="BJ232" s="12"/>
      <c r="BK232" s="12"/>
      <c r="BL232" s="12"/>
      <c r="BM232" s="12"/>
      <c r="BN232" s="12"/>
      <c r="BO232" s="12"/>
      <c r="BP232" s="12"/>
      <c r="BQ232" s="12"/>
      <c r="BR232" s="12"/>
      <c r="BS232" s="12"/>
      <c r="BT232" s="12"/>
      <c r="BU232" s="13"/>
      <c r="BV232" s="1"/>
      <c r="BW232" s="1"/>
      <c r="BX232" s="1"/>
      <c r="BY232" s="1"/>
      <c r="BZ232" s="1"/>
      <c r="CA232" s="1"/>
      <c r="CB232" s="1"/>
      <c r="CC232" s="1"/>
      <c r="CD232" s="1"/>
      <c r="CE232" s="1"/>
      <c r="CF232" s="1"/>
      <c r="CG232" s="1"/>
      <c r="CH232" s="1"/>
      <c r="CI232" s="1"/>
      <c r="CJ232" s="1"/>
      <c r="CK232" s="1"/>
      <c r="CL232" s="1"/>
      <c r="CM232" s="1"/>
      <c r="CN232" s="1"/>
      <c r="CO232" s="1"/>
      <c r="CP232" s="1"/>
    </row>
    <row r="233" ht="11.25" customHeight="1">
      <c r="A233" s="1"/>
      <c r="B233" s="1"/>
      <c r="C233" s="1"/>
      <c r="D233" s="1"/>
      <c r="E233" s="1"/>
      <c r="F233" s="1"/>
      <c r="G233" s="1"/>
      <c r="H233" s="1"/>
      <c r="I233" s="1"/>
      <c r="J233" s="1"/>
      <c r="K233" s="1"/>
      <c r="L233" s="1"/>
      <c r="M233" s="1"/>
      <c r="N233" s="1"/>
      <c r="O233" s="1"/>
      <c r="P233" s="1"/>
      <c r="Q233" s="1"/>
      <c r="R233" s="20" t="s">
        <v>48</v>
      </c>
      <c r="T233" s="1"/>
      <c r="U233" s="1"/>
      <c r="V233" s="1"/>
      <c r="W233" s="1"/>
      <c r="X233" s="1"/>
      <c r="Y233" s="1"/>
      <c r="Z233" s="1"/>
      <c r="AA233" s="1"/>
      <c r="AB233" s="1"/>
      <c r="AC233" s="1"/>
      <c r="AD233" s="1"/>
      <c r="AE233" s="1"/>
      <c r="AF233" s="1"/>
      <c r="AG233" s="1"/>
      <c r="AH233" s="1"/>
      <c r="AI233" s="1"/>
      <c r="AJ233" s="20" t="s">
        <v>48</v>
      </c>
      <c r="AL233" s="1"/>
      <c r="AM233" s="1"/>
      <c r="AN233" s="1"/>
      <c r="AO233" s="1"/>
      <c r="AP233" s="1"/>
      <c r="AQ233" s="1"/>
      <c r="AR233" s="1"/>
      <c r="AS233" s="1"/>
      <c r="AT233" s="1"/>
      <c r="AU233" s="1"/>
      <c r="AV233" s="1"/>
      <c r="AW233" s="1"/>
      <c r="AX233" s="1"/>
      <c r="AY233" s="1"/>
      <c r="AZ233" s="1"/>
      <c r="BA233" s="1"/>
      <c r="BB233" s="20" t="s">
        <v>48</v>
      </c>
      <c r="BD233" s="1"/>
      <c r="BE233" s="1"/>
      <c r="BF233" s="1"/>
      <c r="BG233" s="1"/>
      <c r="BH233" s="1"/>
      <c r="BI233" s="1"/>
      <c r="BJ233" s="1"/>
      <c r="BK233" s="1"/>
      <c r="BL233" s="1"/>
      <c r="BM233" s="1"/>
      <c r="BN233" s="1"/>
      <c r="BO233" s="1"/>
      <c r="BP233" s="1"/>
      <c r="BQ233" s="1"/>
      <c r="BR233" s="1"/>
      <c r="BS233" s="1"/>
      <c r="BT233" s="20" t="s">
        <v>48</v>
      </c>
      <c r="BV233" s="1"/>
      <c r="BW233" s="1"/>
      <c r="BX233" s="1"/>
      <c r="BY233" s="1"/>
      <c r="BZ233" s="1"/>
      <c r="CA233" s="1"/>
      <c r="CB233" s="1"/>
      <c r="CC233" s="1"/>
      <c r="CD233" s="1"/>
      <c r="CE233" s="1"/>
      <c r="CF233" s="1"/>
      <c r="CG233" s="1"/>
      <c r="CH233" s="1"/>
      <c r="CI233" s="1"/>
      <c r="CJ233" s="1"/>
      <c r="CK233" s="1"/>
      <c r="CL233" s="1"/>
      <c r="CM233" s="1"/>
      <c r="CN233" s="1"/>
      <c r="CO233" s="1"/>
      <c r="CP233" s="1"/>
    </row>
    <row r="234" ht="11.25" customHeight="1">
      <c r="A234" s="1"/>
      <c r="B234" s="1"/>
      <c r="C234" s="4" t="s">
        <v>188</v>
      </c>
      <c r="D234" s="5"/>
      <c r="E234" s="5"/>
      <c r="F234" s="5"/>
      <c r="G234" s="5"/>
      <c r="H234" s="5"/>
      <c r="I234" s="5"/>
      <c r="J234" s="5"/>
      <c r="K234" s="5"/>
      <c r="L234" s="5"/>
      <c r="M234" s="5"/>
      <c r="N234" s="5"/>
      <c r="O234" s="5"/>
      <c r="P234" s="5"/>
      <c r="Q234" s="6"/>
      <c r="R234" s="4">
        <f>SWITCH(C$148,"Fast Track",18,"Slow Track",20,19)</f>
        <v>18</v>
      </c>
      <c r="S234" s="6"/>
      <c r="T234" s="1"/>
      <c r="U234" s="4" t="s">
        <v>188</v>
      </c>
      <c r="V234" s="5"/>
      <c r="W234" s="5"/>
      <c r="X234" s="5"/>
      <c r="Y234" s="5"/>
      <c r="Z234" s="5"/>
      <c r="AA234" s="5"/>
      <c r="AB234" s="5"/>
      <c r="AC234" s="5"/>
      <c r="AD234" s="5"/>
      <c r="AE234" s="5"/>
      <c r="AF234" s="5"/>
      <c r="AG234" s="5"/>
      <c r="AH234" s="5"/>
      <c r="AI234" s="6"/>
      <c r="AJ234" s="4">
        <f>SWITCH(U$148,"Fast Track",18,"Slow Track",20,19)</f>
        <v>19</v>
      </c>
      <c r="AK234" s="6"/>
      <c r="AL234" s="1"/>
      <c r="AM234" s="4" t="s">
        <v>188</v>
      </c>
      <c r="AN234" s="5"/>
      <c r="AO234" s="5"/>
      <c r="AP234" s="5"/>
      <c r="AQ234" s="5"/>
      <c r="AR234" s="5"/>
      <c r="AS234" s="5"/>
      <c r="AT234" s="5"/>
      <c r="AU234" s="5"/>
      <c r="AV234" s="5"/>
      <c r="AW234" s="5"/>
      <c r="AX234" s="5"/>
      <c r="AY234" s="5"/>
      <c r="AZ234" s="5"/>
      <c r="BA234" s="6"/>
      <c r="BB234" s="4">
        <f>SWITCH(AM$148,"Fast Track",18,"Slow Track",20,19)</f>
        <v>20</v>
      </c>
      <c r="BC234" s="6"/>
      <c r="BD234" s="1"/>
      <c r="BE234" s="4" t="s">
        <v>188</v>
      </c>
      <c r="BF234" s="5"/>
      <c r="BG234" s="5"/>
      <c r="BH234" s="5"/>
      <c r="BI234" s="5"/>
      <c r="BJ234" s="5"/>
      <c r="BK234" s="5"/>
      <c r="BL234" s="5"/>
      <c r="BM234" s="5"/>
      <c r="BN234" s="5"/>
      <c r="BO234" s="5"/>
      <c r="BP234" s="5"/>
      <c r="BQ234" s="5"/>
      <c r="BR234" s="5"/>
      <c r="BS234" s="6"/>
      <c r="BT234" s="4">
        <f>SWITCH(BE$148,"Fast Track",18,"Slow Track",20,19)</f>
        <v>19</v>
      </c>
      <c r="BU234" s="6"/>
      <c r="BV234" s="1"/>
      <c r="BW234" s="1"/>
      <c r="BX234" s="1"/>
      <c r="BY234" s="1"/>
      <c r="BZ234" s="1"/>
      <c r="CA234" s="1"/>
      <c r="CB234" s="1"/>
      <c r="CC234" s="1"/>
      <c r="CD234" s="1"/>
      <c r="CE234" s="1"/>
      <c r="CF234" s="1"/>
      <c r="CG234" s="1"/>
      <c r="CH234" s="1"/>
      <c r="CI234" s="1"/>
      <c r="CJ234" s="1"/>
      <c r="CK234" s="1"/>
      <c r="CL234" s="1"/>
      <c r="CM234" s="1"/>
      <c r="CN234" s="1"/>
      <c r="CO234" s="1"/>
      <c r="CP234" s="1"/>
    </row>
    <row r="235" ht="11.25" customHeight="1">
      <c r="A235" s="1"/>
      <c r="B235" s="1"/>
      <c r="C235" s="11"/>
      <c r="D235" s="12"/>
      <c r="E235" s="12"/>
      <c r="F235" s="12"/>
      <c r="G235" s="12"/>
      <c r="H235" s="12"/>
      <c r="I235" s="12"/>
      <c r="J235" s="12"/>
      <c r="K235" s="12"/>
      <c r="L235" s="12"/>
      <c r="M235" s="12"/>
      <c r="N235" s="12"/>
      <c r="O235" s="12"/>
      <c r="P235" s="12"/>
      <c r="Q235" s="13"/>
      <c r="R235" s="11"/>
      <c r="S235" s="13"/>
      <c r="T235" s="1"/>
      <c r="U235" s="11"/>
      <c r="V235" s="12"/>
      <c r="W235" s="12"/>
      <c r="X235" s="12"/>
      <c r="Y235" s="12"/>
      <c r="Z235" s="12"/>
      <c r="AA235" s="12"/>
      <c r="AB235" s="12"/>
      <c r="AC235" s="12"/>
      <c r="AD235" s="12"/>
      <c r="AE235" s="12"/>
      <c r="AF235" s="12"/>
      <c r="AG235" s="12"/>
      <c r="AH235" s="12"/>
      <c r="AI235" s="13"/>
      <c r="AJ235" s="11"/>
      <c r="AK235" s="13"/>
      <c r="AL235" s="1"/>
      <c r="AM235" s="11"/>
      <c r="AN235" s="12"/>
      <c r="AO235" s="12"/>
      <c r="AP235" s="12"/>
      <c r="AQ235" s="12"/>
      <c r="AR235" s="12"/>
      <c r="AS235" s="12"/>
      <c r="AT235" s="12"/>
      <c r="AU235" s="12"/>
      <c r="AV235" s="12"/>
      <c r="AW235" s="12"/>
      <c r="AX235" s="12"/>
      <c r="AY235" s="12"/>
      <c r="AZ235" s="12"/>
      <c r="BA235" s="13"/>
      <c r="BB235" s="11"/>
      <c r="BC235" s="13"/>
      <c r="BD235" s="1"/>
      <c r="BE235" s="11"/>
      <c r="BF235" s="12"/>
      <c r="BG235" s="12"/>
      <c r="BH235" s="12"/>
      <c r="BI235" s="12"/>
      <c r="BJ235" s="12"/>
      <c r="BK235" s="12"/>
      <c r="BL235" s="12"/>
      <c r="BM235" s="12"/>
      <c r="BN235" s="12"/>
      <c r="BO235" s="12"/>
      <c r="BP235" s="12"/>
      <c r="BQ235" s="12"/>
      <c r="BR235" s="12"/>
      <c r="BS235" s="13"/>
      <c r="BT235" s="11"/>
      <c r="BU235" s="13"/>
      <c r="BV235" s="1"/>
      <c r="BW235" s="1"/>
      <c r="BX235" s="1"/>
      <c r="BY235" s="1"/>
      <c r="BZ235" s="1"/>
      <c r="CA235" s="1"/>
      <c r="CB235" s="1"/>
      <c r="CC235" s="1"/>
      <c r="CD235" s="1"/>
      <c r="CE235" s="1"/>
      <c r="CF235" s="1"/>
      <c r="CG235" s="1"/>
      <c r="CH235" s="1"/>
      <c r="CI235" s="1"/>
      <c r="CJ235" s="1"/>
      <c r="CK235" s="1"/>
      <c r="CL235" s="1"/>
      <c r="CM235" s="1"/>
      <c r="CN235" s="1"/>
      <c r="CO235" s="1"/>
      <c r="CP235" s="1"/>
    </row>
    <row r="236" ht="11.25" customHeight="1">
      <c r="A236" s="1"/>
      <c r="B236" s="1"/>
      <c r="C236" s="73" t="str">
        <f>IF($AC$9&gt;=R$234,"Strength Unbroken","")</f>
        <v/>
      </c>
      <c r="D236" s="5"/>
      <c r="E236" s="5"/>
      <c r="F236" s="5"/>
      <c r="G236" s="5"/>
      <c r="H236" s="5"/>
      <c r="I236" s="5"/>
      <c r="J236" s="5"/>
      <c r="K236" s="5"/>
      <c r="L236" s="5"/>
      <c r="M236" s="5"/>
      <c r="N236" s="5"/>
      <c r="O236" s="5"/>
      <c r="P236" s="5"/>
      <c r="Q236" s="5"/>
      <c r="R236" s="5"/>
      <c r="S236" s="6"/>
      <c r="T236" s="1"/>
      <c r="U236" s="73" t="str">
        <f>IF($AC$9&gt;=AJ$234,"Bad Moon Rising","")</f>
        <v/>
      </c>
      <c r="V236" s="5"/>
      <c r="W236" s="5"/>
      <c r="X236" s="5"/>
      <c r="Y236" s="5"/>
      <c r="Z236" s="5"/>
      <c r="AA236" s="5"/>
      <c r="AB236" s="5"/>
      <c r="AC236" s="5"/>
      <c r="AD236" s="5"/>
      <c r="AE236" s="5"/>
      <c r="AF236" s="5"/>
      <c r="AG236" s="5"/>
      <c r="AH236" s="5"/>
      <c r="AI236" s="5"/>
      <c r="AJ236" s="5"/>
      <c r="AK236" s="6"/>
      <c r="AL236" s="1"/>
      <c r="AM236" s="46" t="str">
        <f>IF($AC$9&gt;=BB234,"Scales of Gems","")</f>
        <v/>
      </c>
      <c r="AN236" s="5"/>
      <c r="AO236" s="5"/>
      <c r="AP236" s="5"/>
      <c r="AQ236" s="5"/>
      <c r="AR236" s="5"/>
      <c r="AS236" s="5"/>
      <c r="AT236" s="5"/>
      <c r="AU236" s="5"/>
      <c r="AV236" s="5"/>
      <c r="AW236" s="5"/>
      <c r="AX236" s="5"/>
      <c r="AY236" s="5"/>
      <c r="AZ236" s="5"/>
      <c r="BA236" s="5"/>
      <c r="BB236" s="5"/>
      <c r="BC236" s="6"/>
      <c r="BD236" s="1"/>
      <c r="BE236" s="73" t="str">
        <f>IF($AC$9&gt;=BT$234,"Unname","")</f>
        <v/>
      </c>
      <c r="BF236" s="5"/>
      <c r="BG236" s="5"/>
      <c r="BH236" s="5"/>
      <c r="BI236" s="5"/>
      <c r="BJ236" s="5"/>
      <c r="BK236" s="5"/>
      <c r="BL236" s="5"/>
      <c r="BM236" s="5"/>
      <c r="BN236" s="5"/>
      <c r="BO236" s="5"/>
      <c r="BP236" s="5"/>
      <c r="BQ236" s="5"/>
      <c r="BR236" s="5"/>
      <c r="BS236" s="5"/>
      <c r="BT236" s="5"/>
      <c r="BU236" s="6"/>
      <c r="BV236" s="1"/>
      <c r="BW236" s="1"/>
      <c r="BX236" s="1"/>
      <c r="BY236" s="1"/>
      <c r="BZ236" s="1"/>
      <c r="CA236" s="1"/>
      <c r="CB236" s="1"/>
      <c r="CC236" s="1"/>
      <c r="CD236" s="1"/>
      <c r="CE236" s="1"/>
      <c r="CF236" s="1"/>
      <c r="CG236" s="1"/>
      <c r="CH236" s="1"/>
      <c r="CI236" s="1"/>
      <c r="CJ236" s="1"/>
      <c r="CK236" s="1"/>
      <c r="CL236" s="1"/>
      <c r="CM236" s="1"/>
      <c r="CN236" s="1"/>
      <c r="CO236" s="1"/>
      <c r="CP236" s="1"/>
    </row>
    <row r="237" ht="11.25" customHeight="1">
      <c r="A237" s="1"/>
      <c r="B237" s="1"/>
      <c r="C237" s="11"/>
      <c r="D237" s="12"/>
      <c r="E237" s="12"/>
      <c r="F237" s="12"/>
      <c r="G237" s="12"/>
      <c r="H237" s="12"/>
      <c r="I237" s="12"/>
      <c r="J237" s="12"/>
      <c r="K237" s="12"/>
      <c r="L237" s="12"/>
      <c r="M237" s="12"/>
      <c r="N237" s="12"/>
      <c r="O237" s="12"/>
      <c r="P237" s="12"/>
      <c r="Q237" s="12"/>
      <c r="R237" s="12"/>
      <c r="S237" s="13"/>
      <c r="T237" s="1"/>
      <c r="U237" s="11"/>
      <c r="V237" s="12"/>
      <c r="W237" s="12"/>
      <c r="X237" s="12"/>
      <c r="Y237" s="12"/>
      <c r="Z237" s="12"/>
      <c r="AA237" s="12"/>
      <c r="AB237" s="12"/>
      <c r="AC237" s="12"/>
      <c r="AD237" s="12"/>
      <c r="AE237" s="12"/>
      <c r="AF237" s="12"/>
      <c r="AG237" s="12"/>
      <c r="AH237" s="12"/>
      <c r="AI237" s="12"/>
      <c r="AJ237" s="12"/>
      <c r="AK237" s="13"/>
      <c r="AL237" s="1"/>
      <c r="AM237" s="11"/>
      <c r="AN237" s="12"/>
      <c r="AO237" s="12"/>
      <c r="AP237" s="12"/>
      <c r="AQ237" s="12"/>
      <c r="AR237" s="12"/>
      <c r="AS237" s="12"/>
      <c r="AT237" s="12"/>
      <c r="AU237" s="12"/>
      <c r="AV237" s="12"/>
      <c r="AW237" s="12"/>
      <c r="AX237" s="12"/>
      <c r="AY237" s="12"/>
      <c r="AZ237" s="12"/>
      <c r="BA237" s="12"/>
      <c r="BB237" s="12"/>
      <c r="BC237" s="13"/>
      <c r="BD237" s="1"/>
      <c r="BE237" s="11"/>
      <c r="BF237" s="12"/>
      <c r="BG237" s="12"/>
      <c r="BH237" s="12"/>
      <c r="BI237" s="12"/>
      <c r="BJ237" s="12"/>
      <c r="BK237" s="12"/>
      <c r="BL237" s="12"/>
      <c r="BM237" s="12"/>
      <c r="BN237" s="12"/>
      <c r="BO237" s="12"/>
      <c r="BP237" s="12"/>
      <c r="BQ237" s="12"/>
      <c r="BR237" s="12"/>
      <c r="BS237" s="12"/>
      <c r="BT237" s="12"/>
      <c r="BU237" s="13"/>
      <c r="BV237" s="1"/>
      <c r="BW237" s="1"/>
      <c r="BX237" s="1"/>
      <c r="BY237" s="1"/>
      <c r="BZ237" s="1"/>
      <c r="CA237" s="1"/>
      <c r="CB237" s="1"/>
      <c r="CC237" s="1"/>
      <c r="CD237" s="1"/>
      <c r="CE237" s="1"/>
      <c r="CF237" s="1"/>
      <c r="CG237" s="1"/>
      <c r="CH237" s="1"/>
      <c r="CI237" s="1"/>
      <c r="CJ237" s="1"/>
      <c r="CK237" s="1"/>
      <c r="CL237" s="1"/>
      <c r="CM237" s="1"/>
      <c r="CN237" s="1"/>
      <c r="CO237" s="1"/>
      <c r="CP237" s="1"/>
    </row>
    <row r="238" ht="11.25" customHeight="1">
      <c r="A238" s="1"/>
      <c r="B238" s="1"/>
      <c r="C238" s="70" t="str">
        <f>IF($AC$9&gt;=R$234,"1/[Encounter] SWIFT: Gain damage, [Binding], [Dazed], [Stunned] [Immunity] until the start of my next turn","")</f>
        <v/>
      </c>
      <c r="S238" s="34"/>
      <c r="T238" s="71"/>
      <c r="U238" s="70" t="str">
        <f>IF($AC$9&gt;=AJ$234,CONCATENATE("1/[Scene]: On death, return to life as soon as the following [Round] with ",floor($AF$19/2)," HP, know my killer's location, negate killer's [Miss chance] and gain +5 Fury ATK/DMG on the killer"),"")</f>
        <v/>
      </c>
      <c r="AK238" s="34"/>
      <c r="AL238" s="71"/>
      <c r="AM238" s="72" t="str">
        <f>IF($AC$9&gt;=BB234,"1/[Encounter] SWIFT: Gain damage, [Sickened], [Nauseated], [Dazed], [Stunned] [Immunity]","")</f>
        <v/>
      </c>
      <c r="AN238" s="5"/>
      <c r="AO238" s="5"/>
      <c r="AP238" s="5"/>
      <c r="AQ238" s="5"/>
      <c r="AR238" s="5"/>
      <c r="AS238" s="5"/>
      <c r="AT238" s="5"/>
      <c r="AU238" s="5"/>
      <c r="AV238" s="5"/>
      <c r="AW238" s="5"/>
      <c r="AX238" s="5"/>
      <c r="AY238" s="5"/>
      <c r="AZ238" s="5"/>
      <c r="BA238" s="5"/>
      <c r="BB238" s="5"/>
      <c r="BC238" s="6"/>
      <c r="BD238" s="1"/>
      <c r="BE238" s="70" t="str">
        <f>IF($AC$9&gt;=BT$234,CONCATENATE("STANDARD TRUE: Will or inflict [HP reduction] equal to max HP of enemy within [Close] range"),"")</f>
        <v/>
      </c>
      <c r="BU238" s="34"/>
      <c r="BV238" s="1"/>
      <c r="BW238" s="1"/>
      <c r="BX238" s="1"/>
      <c r="BY238" s="1"/>
      <c r="BZ238" s="1"/>
      <c r="CA238" s="1"/>
      <c r="CB238" s="1"/>
      <c r="CC238" s="1"/>
      <c r="CD238" s="1"/>
      <c r="CE238" s="1"/>
      <c r="CF238" s="1"/>
      <c r="CG238" s="1"/>
      <c r="CH238" s="1"/>
      <c r="CI238" s="1"/>
      <c r="CJ238" s="1"/>
      <c r="CK238" s="1"/>
      <c r="CL238" s="1"/>
      <c r="CM238" s="1"/>
      <c r="CN238" s="1"/>
      <c r="CO238" s="1"/>
      <c r="CP238" s="1"/>
    </row>
    <row r="239" ht="11.25" customHeight="1">
      <c r="A239" s="1"/>
      <c r="B239" s="1"/>
      <c r="C239" s="59"/>
      <c r="S239" s="34"/>
      <c r="T239" s="71"/>
      <c r="U239" s="59"/>
      <c r="AK239" s="34"/>
      <c r="AL239" s="71"/>
      <c r="AM239" s="59"/>
      <c r="BC239" s="34"/>
      <c r="BD239" s="1"/>
      <c r="BE239" s="59"/>
      <c r="BU239" s="34"/>
      <c r="BV239" s="1"/>
      <c r="BW239" s="1"/>
      <c r="BX239" s="1"/>
      <c r="BY239" s="1"/>
      <c r="BZ239" s="1"/>
      <c r="CA239" s="1"/>
      <c r="CB239" s="1"/>
      <c r="CC239" s="1"/>
      <c r="CD239" s="1"/>
      <c r="CE239" s="1"/>
      <c r="CF239" s="1"/>
      <c r="CG239" s="1"/>
      <c r="CH239" s="1"/>
      <c r="CI239" s="1"/>
      <c r="CJ239" s="1"/>
      <c r="CK239" s="1"/>
      <c r="CL239" s="1"/>
      <c r="CM239" s="1"/>
      <c r="CN239" s="1"/>
      <c r="CO239" s="1"/>
      <c r="CP239" s="1"/>
    </row>
    <row r="240" ht="11.25" customHeight="1">
      <c r="A240" s="1"/>
      <c r="B240" s="1"/>
      <c r="C240" s="59"/>
      <c r="S240" s="34"/>
      <c r="T240" s="71"/>
      <c r="U240" s="59"/>
      <c r="AK240" s="34"/>
      <c r="AL240" s="71"/>
      <c r="AM240" s="59"/>
      <c r="BC240" s="34"/>
      <c r="BD240" s="1"/>
      <c r="BE240" s="59"/>
      <c r="BU240" s="34"/>
      <c r="BV240" s="1"/>
      <c r="BW240" s="1"/>
      <c r="BX240" s="1"/>
      <c r="BY240" s="1"/>
      <c r="BZ240" s="1"/>
      <c r="CA240" s="1"/>
      <c r="CB240" s="1"/>
      <c r="CC240" s="1"/>
      <c r="CD240" s="1"/>
      <c r="CE240" s="1"/>
      <c r="CF240" s="1"/>
      <c r="CG240" s="1"/>
      <c r="CH240" s="1"/>
      <c r="CI240" s="1"/>
      <c r="CJ240" s="1"/>
      <c r="CK240" s="1"/>
      <c r="CL240" s="1"/>
      <c r="CM240" s="1"/>
      <c r="CN240" s="1"/>
      <c r="CO240" s="1"/>
      <c r="CP240" s="1"/>
    </row>
    <row r="241" ht="11.25" customHeight="1">
      <c r="A241" s="1"/>
      <c r="B241" s="1"/>
      <c r="C241" s="59"/>
      <c r="S241" s="34"/>
      <c r="T241" s="71"/>
      <c r="U241" s="59"/>
      <c r="AK241" s="34"/>
      <c r="AL241" s="71"/>
      <c r="AM241" s="59"/>
      <c r="BC241" s="34"/>
      <c r="BD241" s="1"/>
      <c r="BE241" s="59"/>
      <c r="BU241" s="34"/>
      <c r="BV241" s="1"/>
      <c r="BW241" s="1"/>
      <c r="BX241" s="1"/>
      <c r="BY241" s="1"/>
      <c r="BZ241" s="1"/>
      <c r="CA241" s="1"/>
      <c r="CB241" s="1"/>
      <c r="CC241" s="1"/>
      <c r="CD241" s="1"/>
      <c r="CE241" s="1"/>
      <c r="CF241" s="1"/>
      <c r="CG241" s="1"/>
      <c r="CH241" s="1"/>
      <c r="CI241" s="1"/>
      <c r="CJ241" s="1"/>
      <c r="CK241" s="1"/>
      <c r="CL241" s="1"/>
      <c r="CM241" s="1"/>
      <c r="CN241" s="1"/>
      <c r="CO241" s="1"/>
      <c r="CP241" s="1"/>
    </row>
    <row r="242" ht="11.25" customHeight="1">
      <c r="A242" s="1"/>
      <c r="B242" s="1"/>
      <c r="C242" s="59"/>
      <c r="S242" s="34"/>
      <c r="T242" s="71"/>
      <c r="U242" s="59"/>
      <c r="AK242" s="34"/>
      <c r="AL242" s="71"/>
      <c r="AM242" s="59"/>
      <c r="BC242" s="34"/>
      <c r="BD242" s="1"/>
      <c r="BE242" s="59"/>
      <c r="BU242" s="34"/>
      <c r="BV242" s="1"/>
      <c r="BW242" s="1"/>
      <c r="BX242" s="1"/>
      <c r="BY242" s="1"/>
      <c r="BZ242" s="1"/>
      <c r="CA242" s="1"/>
      <c r="CB242" s="1"/>
      <c r="CC242" s="1"/>
      <c r="CD242" s="1"/>
      <c r="CE242" s="1"/>
      <c r="CF242" s="1"/>
      <c r="CG242" s="1"/>
      <c r="CH242" s="1"/>
      <c r="CI242" s="1"/>
      <c r="CJ242" s="1"/>
      <c r="CK242" s="1"/>
      <c r="CL242" s="1"/>
      <c r="CM242" s="1"/>
      <c r="CN242" s="1"/>
      <c r="CO242" s="1"/>
      <c r="CP242" s="1"/>
    </row>
    <row r="243" ht="11.25" customHeight="1">
      <c r="A243" s="1"/>
      <c r="B243" s="1"/>
      <c r="C243" s="59"/>
      <c r="S243" s="34"/>
      <c r="T243" s="71"/>
      <c r="U243" s="59"/>
      <c r="AK243" s="34"/>
      <c r="AL243" s="71"/>
      <c r="AM243" s="59"/>
      <c r="BC243" s="34"/>
      <c r="BD243" s="1"/>
      <c r="BE243" s="59"/>
      <c r="BU243" s="34"/>
      <c r="BV243" s="1"/>
      <c r="BW243" s="1"/>
      <c r="BX243" s="1"/>
      <c r="BY243" s="1"/>
      <c r="BZ243" s="1"/>
      <c r="CA243" s="1"/>
      <c r="CB243" s="1"/>
      <c r="CC243" s="1"/>
      <c r="CD243" s="1"/>
      <c r="CE243" s="1"/>
      <c r="CF243" s="1"/>
      <c r="CG243" s="1"/>
      <c r="CH243" s="1"/>
      <c r="CI243" s="1"/>
      <c r="CJ243" s="1"/>
      <c r="CK243" s="1"/>
      <c r="CL243" s="1"/>
      <c r="CM243" s="1"/>
      <c r="CN243" s="1"/>
      <c r="CO243" s="1"/>
      <c r="CP243" s="1"/>
    </row>
    <row r="244" ht="11.25" customHeight="1">
      <c r="A244" s="1"/>
      <c r="B244" s="1"/>
      <c r="C244" s="59"/>
      <c r="S244" s="34"/>
      <c r="T244" s="71"/>
      <c r="U244" s="59"/>
      <c r="AK244" s="34"/>
      <c r="AL244" s="71"/>
      <c r="AM244" s="59"/>
      <c r="BC244" s="34"/>
      <c r="BD244" s="1"/>
      <c r="BE244" s="59"/>
      <c r="BU244" s="34"/>
      <c r="BV244" s="1"/>
      <c r="BW244" s="1"/>
      <c r="BX244" s="1"/>
      <c r="BY244" s="1"/>
      <c r="BZ244" s="1"/>
      <c r="CA244" s="1"/>
      <c r="CB244" s="1"/>
      <c r="CC244" s="1"/>
      <c r="CD244" s="1"/>
      <c r="CE244" s="1"/>
      <c r="CF244" s="1"/>
      <c r="CG244" s="1"/>
      <c r="CH244" s="1"/>
      <c r="CI244" s="1"/>
      <c r="CJ244" s="1"/>
      <c r="CK244" s="1"/>
      <c r="CL244" s="1"/>
      <c r="CM244" s="1"/>
      <c r="CN244" s="1"/>
      <c r="CO244" s="1"/>
      <c r="CP244" s="1"/>
    </row>
    <row r="245" ht="11.25" customHeight="1">
      <c r="A245" s="1"/>
      <c r="B245" s="1"/>
      <c r="C245" s="11"/>
      <c r="D245" s="12"/>
      <c r="E245" s="12"/>
      <c r="F245" s="12"/>
      <c r="G245" s="12"/>
      <c r="H245" s="12"/>
      <c r="I245" s="12"/>
      <c r="J245" s="12"/>
      <c r="K245" s="12"/>
      <c r="L245" s="12"/>
      <c r="M245" s="12"/>
      <c r="N245" s="12"/>
      <c r="O245" s="12"/>
      <c r="P245" s="12"/>
      <c r="Q245" s="12"/>
      <c r="R245" s="12"/>
      <c r="S245" s="13"/>
      <c r="T245" s="71"/>
      <c r="U245" s="11"/>
      <c r="V245" s="12"/>
      <c r="W245" s="12"/>
      <c r="X245" s="12"/>
      <c r="Y245" s="12"/>
      <c r="Z245" s="12"/>
      <c r="AA245" s="12"/>
      <c r="AB245" s="12"/>
      <c r="AC245" s="12"/>
      <c r="AD245" s="12"/>
      <c r="AE245" s="12"/>
      <c r="AF245" s="12"/>
      <c r="AG245" s="12"/>
      <c r="AH245" s="12"/>
      <c r="AI245" s="12"/>
      <c r="AJ245" s="12"/>
      <c r="AK245" s="13"/>
      <c r="AL245" s="71"/>
      <c r="AM245" s="11"/>
      <c r="AN245" s="12"/>
      <c r="AO245" s="12"/>
      <c r="AP245" s="12"/>
      <c r="AQ245" s="12"/>
      <c r="AR245" s="12"/>
      <c r="AS245" s="12"/>
      <c r="AT245" s="12"/>
      <c r="AU245" s="12"/>
      <c r="AV245" s="12"/>
      <c r="AW245" s="12"/>
      <c r="AX245" s="12"/>
      <c r="AY245" s="12"/>
      <c r="AZ245" s="12"/>
      <c r="BA245" s="12"/>
      <c r="BB245" s="12"/>
      <c r="BC245" s="13"/>
      <c r="BD245" s="1"/>
      <c r="BE245" s="11"/>
      <c r="BF245" s="12"/>
      <c r="BG245" s="12"/>
      <c r="BH245" s="12"/>
      <c r="BI245" s="12"/>
      <c r="BJ245" s="12"/>
      <c r="BK245" s="12"/>
      <c r="BL245" s="12"/>
      <c r="BM245" s="12"/>
      <c r="BN245" s="12"/>
      <c r="BO245" s="12"/>
      <c r="BP245" s="12"/>
      <c r="BQ245" s="12"/>
      <c r="BR245" s="12"/>
      <c r="BS245" s="12"/>
      <c r="BT245" s="12"/>
      <c r="BU245" s="13"/>
      <c r="BV245" s="1"/>
      <c r="BW245" s="1"/>
      <c r="BX245" s="1"/>
      <c r="BY245" s="1"/>
      <c r="BZ245" s="1"/>
      <c r="CA245" s="1"/>
      <c r="CB245" s="1"/>
      <c r="CC245" s="1"/>
      <c r="CD245" s="1"/>
      <c r="CE245" s="1"/>
      <c r="CF245" s="1"/>
      <c r="CG245" s="1"/>
      <c r="CH245" s="1"/>
      <c r="CI245" s="1"/>
      <c r="CJ245" s="1"/>
      <c r="CK245" s="1"/>
      <c r="CL245" s="1"/>
      <c r="CM245" s="1"/>
      <c r="CN245" s="1"/>
      <c r="CO245" s="1"/>
      <c r="CP245" s="1"/>
    </row>
    <row r="246" ht="11.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row>
    <row r="247" ht="11.25" customHeight="1">
      <c r="A247" s="1"/>
      <c r="B247" s="1"/>
      <c r="C247" s="1"/>
      <c r="D247" s="1"/>
      <c r="E247" s="1"/>
      <c r="F247" s="1"/>
      <c r="G247" s="1"/>
      <c r="H247" s="1"/>
      <c r="I247" s="1"/>
      <c r="J247" s="1"/>
      <c r="K247" s="1"/>
      <c r="L247" s="1"/>
      <c r="M247" s="1"/>
      <c r="N247" s="1"/>
      <c r="O247" s="1"/>
      <c r="P247" s="1"/>
      <c r="Q247" s="1"/>
      <c r="R247" s="1"/>
      <c r="S247" s="1"/>
      <c r="T247" s="1"/>
      <c r="U247" s="74"/>
      <c r="V247" s="74"/>
      <c r="W247" s="74"/>
      <c r="X247" s="74"/>
      <c r="Y247" s="74"/>
      <c r="Z247" s="74"/>
      <c r="AA247" s="74"/>
      <c r="AB247" s="74"/>
      <c r="AC247" s="74"/>
      <c r="AD247" s="74"/>
      <c r="AE247" s="74"/>
      <c r="AF247" s="74"/>
      <c r="AG247" s="74"/>
      <c r="AH247" s="74"/>
      <c r="AI247" s="74"/>
      <c r="AJ247" s="74"/>
      <c r="AK247" s="74"/>
      <c r="AL247" s="74"/>
      <c r="AM247" s="74"/>
      <c r="AN247" s="74"/>
      <c r="AO247" s="74"/>
      <c r="AP247" s="74"/>
      <c r="AQ247" s="74"/>
      <c r="AR247" s="74"/>
      <c r="AS247" s="74"/>
      <c r="AT247" s="74"/>
      <c r="AU247" s="74"/>
      <c r="AV247" s="74"/>
      <c r="AW247" s="74"/>
      <c r="AX247" s="74"/>
      <c r="AY247" s="74"/>
      <c r="AZ247" s="74"/>
      <c r="BA247" s="74"/>
      <c r="BB247" s="74"/>
      <c r="BC247" s="74"/>
      <c r="BD247" s="74"/>
      <c r="BE247" s="74"/>
      <c r="BF247" s="74"/>
      <c r="BG247" s="74"/>
      <c r="BH247" s="74"/>
      <c r="BI247" s="74"/>
      <c r="BJ247" s="74"/>
      <c r="BK247" s="74"/>
      <c r="BL247" s="74"/>
      <c r="BM247" s="74"/>
      <c r="BN247" s="74"/>
      <c r="BO247" s="74"/>
      <c r="BP247" s="74"/>
      <c r="BQ247" s="74"/>
      <c r="BR247" s="74"/>
      <c r="BS247" s="74"/>
      <c r="BT247" s="74"/>
      <c r="BU247" s="74"/>
      <c r="BV247" s="74"/>
      <c r="BW247" s="1"/>
      <c r="BX247" s="1"/>
      <c r="BY247" s="1"/>
      <c r="BZ247" s="1"/>
      <c r="CA247" s="1"/>
      <c r="CB247" s="1"/>
      <c r="CC247" s="1"/>
      <c r="CD247" s="1"/>
      <c r="CE247" s="1"/>
      <c r="CF247" s="1"/>
      <c r="CG247" s="1"/>
      <c r="CH247" s="1"/>
      <c r="CI247" s="1"/>
      <c r="CJ247" s="1"/>
      <c r="CK247" s="1"/>
      <c r="CL247" s="1"/>
      <c r="CM247" s="1"/>
      <c r="CN247" s="1"/>
      <c r="CO247" s="1"/>
      <c r="CP247" s="1"/>
    </row>
    <row r="248" ht="11.25" customHeight="1">
      <c r="A248" s="1"/>
      <c r="B248" s="74"/>
      <c r="C248" s="56" t="s">
        <v>111</v>
      </c>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6"/>
      <c r="BV248" s="74"/>
      <c r="BW248" s="1"/>
      <c r="BX248" s="1"/>
      <c r="BY248" s="1"/>
      <c r="BZ248" s="1"/>
      <c r="CA248" s="1"/>
      <c r="CB248" s="1"/>
      <c r="CC248" s="1"/>
      <c r="CD248" s="1"/>
      <c r="CE248" s="1"/>
      <c r="CF248" s="1"/>
      <c r="CG248" s="1"/>
      <c r="CH248" s="1"/>
      <c r="CI248" s="1"/>
      <c r="CJ248" s="1"/>
      <c r="CK248" s="1"/>
      <c r="CL248" s="1"/>
      <c r="CM248" s="1"/>
      <c r="CN248" s="1"/>
      <c r="CO248" s="1"/>
      <c r="CP248" s="1"/>
    </row>
    <row r="249" ht="11.25" customHeight="1">
      <c r="A249" s="1"/>
      <c r="B249" s="74"/>
      <c r="C249" s="11"/>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c r="BL249" s="12"/>
      <c r="BM249" s="12"/>
      <c r="BN249" s="12"/>
      <c r="BO249" s="12"/>
      <c r="BP249" s="12"/>
      <c r="BQ249" s="12"/>
      <c r="BR249" s="12"/>
      <c r="BS249" s="12"/>
      <c r="BT249" s="12"/>
      <c r="BU249" s="13"/>
      <c r="BV249" s="74"/>
      <c r="BW249" s="1"/>
      <c r="BX249" s="1"/>
      <c r="BY249" s="1"/>
      <c r="BZ249" s="1"/>
      <c r="CA249" s="1"/>
      <c r="CB249" s="1"/>
      <c r="CC249" s="1"/>
      <c r="CD249" s="1"/>
      <c r="CE249" s="1"/>
      <c r="CF249" s="1"/>
      <c r="CG249" s="1"/>
      <c r="CH249" s="1"/>
      <c r="CI249" s="1"/>
      <c r="CJ249" s="1"/>
      <c r="CK249" s="1"/>
      <c r="CL249" s="1"/>
      <c r="CM249" s="1"/>
      <c r="CN249" s="1"/>
      <c r="CO249" s="1"/>
      <c r="CP249" s="1"/>
    </row>
    <row r="250" ht="11.25" customHeight="1">
      <c r="A250" s="1"/>
      <c r="B250" s="75"/>
      <c r="C250" s="72" t="str">
        <f>CONCATENATE("DESCRIPTION: A guard dog trained in multiple techniques to keep its enemies uneasy, from calling upon truenames to detection to inhibiting healing, as well as resisting a variety of incapacitating effects.",char(10),"STRATEGY: Use Perception on your foe before trying to learn their truename.  This will make it easier to both learn truenames (remember, you only get one attempt per enemy), as well as help your attacks hit home.  Intimidate is there for flavor, but isn't"&amp;" very useful until 6th level when Terrifying Shout is gained.  Try to pair this unit with a healer to take advantage of Lineage.")</f>
        <v>DESCRIPTION: A guard dog trained in multiple techniques to keep its enemies uneasy, from calling upon truenames to detection to inhibiting healing, as well as resisting a variety of incapacitating effects.
STRATEGY: Use Perception on your foe before trying to learn their truename.  This will make it easier to both learn truenames (remember, you only get one attempt per enemy), as well as help your attacks hit home.  Intimidate is there for flavor, but isn't very useful until 6th level when Terrifying Shout is gained.  Try to pair this unit with a healer to take advantage of Lineage.</v>
      </c>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6"/>
      <c r="BV250" s="74"/>
      <c r="BW250" s="1"/>
      <c r="BX250" s="1"/>
      <c r="BY250" s="1"/>
      <c r="BZ250" s="1"/>
      <c r="CA250" s="1"/>
      <c r="CB250" s="1"/>
      <c r="CC250" s="1"/>
      <c r="CD250" s="1"/>
      <c r="CE250" s="1"/>
      <c r="CF250" s="1"/>
      <c r="CG250" s="1"/>
      <c r="CH250" s="1"/>
      <c r="CI250" s="1"/>
      <c r="CJ250" s="1"/>
      <c r="CK250" s="1"/>
      <c r="CL250" s="1"/>
      <c r="CM250" s="1"/>
      <c r="CN250" s="1"/>
      <c r="CO250" s="1"/>
      <c r="CP250" s="1"/>
    </row>
    <row r="251" ht="11.25" customHeight="1">
      <c r="A251" s="1"/>
      <c r="B251" s="75"/>
      <c r="C251" s="59"/>
      <c r="BU251" s="34"/>
      <c r="BV251" s="74"/>
      <c r="BW251" s="1"/>
      <c r="BX251" s="1"/>
      <c r="BY251" s="1"/>
      <c r="BZ251" s="1"/>
      <c r="CA251" s="1"/>
      <c r="CB251" s="1"/>
      <c r="CC251" s="1"/>
      <c r="CD251" s="1"/>
      <c r="CE251" s="1"/>
      <c r="CF251" s="1"/>
      <c r="CG251" s="1"/>
      <c r="CH251" s="1"/>
      <c r="CI251" s="1"/>
      <c r="CJ251" s="1"/>
      <c r="CK251" s="1"/>
      <c r="CL251" s="1"/>
      <c r="CM251" s="1"/>
      <c r="CN251" s="1"/>
      <c r="CO251" s="1"/>
      <c r="CP251" s="1"/>
    </row>
    <row r="252" ht="11.25" customHeight="1">
      <c r="A252" s="1"/>
      <c r="B252" s="75"/>
      <c r="C252" s="59"/>
      <c r="BU252" s="34"/>
      <c r="BV252" s="74"/>
      <c r="BW252" s="1"/>
      <c r="BX252" s="1"/>
      <c r="BY252" s="1"/>
      <c r="BZ252" s="1"/>
      <c r="CA252" s="1"/>
      <c r="CB252" s="1"/>
      <c r="CC252" s="1"/>
      <c r="CD252" s="1"/>
      <c r="CE252" s="1"/>
      <c r="CF252" s="1"/>
      <c r="CG252" s="1"/>
      <c r="CH252" s="1"/>
      <c r="CI252" s="1"/>
      <c r="CJ252" s="1"/>
      <c r="CK252" s="1"/>
      <c r="CL252" s="1"/>
      <c r="CM252" s="1"/>
      <c r="CN252" s="1"/>
      <c r="CO252" s="1"/>
      <c r="CP252" s="1"/>
    </row>
    <row r="253" ht="11.25" customHeight="1">
      <c r="A253" s="1"/>
      <c r="B253" s="75"/>
      <c r="C253" s="59"/>
      <c r="BU253" s="34"/>
      <c r="BV253" s="74"/>
      <c r="BW253" s="1"/>
      <c r="BX253" s="1"/>
      <c r="BY253" s="1"/>
      <c r="BZ253" s="1"/>
      <c r="CA253" s="1"/>
      <c r="CB253" s="1"/>
      <c r="CC253" s="1"/>
      <c r="CD253" s="1"/>
      <c r="CE253" s="1"/>
      <c r="CF253" s="1"/>
      <c r="CG253" s="1"/>
      <c r="CH253" s="1"/>
      <c r="CI253" s="1"/>
      <c r="CJ253" s="1"/>
      <c r="CK253" s="1"/>
      <c r="CL253" s="1"/>
      <c r="CM253" s="1"/>
      <c r="CN253" s="1"/>
      <c r="CO253" s="1"/>
      <c r="CP253" s="1"/>
    </row>
    <row r="254" ht="11.25" customHeight="1">
      <c r="A254" s="1"/>
      <c r="B254" s="75"/>
      <c r="C254" s="59"/>
      <c r="BU254" s="34"/>
      <c r="BV254" s="74"/>
      <c r="BW254" s="1"/>
      <c r="BX254" s="1"/>
      <c r="BY254" s="1"/>
      <c r="BZ254" s="1"/>
      <c r="CA254" s="1"/>
      <c r="CB254" s="1"/>
      <c r="CC254" s="1"/>
      <c r="CD254" s="1"/>
      <c r="CE254" s="1"/>
      <c r="CF254" s="1"/>
      <c r="CG254" s="1"/>
      <c r="CH254" s="1"/>
      <c r="CI254" s="1"/>
      <c r="CJ254" s="1"/>
      <c r="CK254" s="1"/>
      <c r="CL254" s="1"/>
      <c r="CM254" s="1"/>
      <c r="CN254" s="1"/>
      <c r="CO254" s="1"/>
      <c r="CP254" s="1"/>
    </row>
    <row r="255" ht="11.25" customHeight="1">
      <c r="A255" s="1"/>
      <c r="B255" s="75"/>
      <c r="C255" s="59"/>
      <c r="BU255" s="34"/>
      <c r="BV255" s="74"/>
      <c r="BW255" s="1"/>
      <c r="BX255" s="1"/>
      <c r="BY255" s="1"/>
      <c r="BZ255" s="1"/>
      <c r="CA255" s="1"/>
      <c r="CB255" s="1"/>
      <c r="CC255" s="1"/>
      <c r="CD255" s="1"/>
      <c r="CE255" s="1"/>
      <c r="CF255" s="1"/>
      <c r="CG255" s="1"/>
      <c r="CH255" s="1"/>
      <c r="CI255" s="1"/>
      <c r="CJ255" s="1"/>
      <c r="CK255" s="1"/>
      <c r="CL255" s="1"/>
      <c r="CM255" s="1"/>
      <c r="CN255" s="1"/>
      <c r="CO255" s="1"/>
      <c r="CP255" s="1"/>
    </row>
    <row r="256" ht="11.25" customHeight="1">
      <c r="A256" s="1"/>
      <c r="B256" s="75"/>
      <c r="C256" s="59"/>
      <c r="BU256" s="34"/>
      <c r="BV256" s="74"/>
      <c r="BW256" s="1"/>
      <c r="BX256" s="1"/>
      <c r="BY256" s="1"/>
      <c r="BZ256" s="1"/>
      <c r="CA256" s="1"/>
      <c r="CB256" s="1"/>
      <c r="CC256" s="1"/>
      <c r="CD256" s="1"/>
      <c r="CE256" s="1"/>
      <c r="CF256" s="1"/>
      <c r="CG256" s="1"/>
      <c r="CH256" s="1"/>
      <c r="CI256" s="1"/>
      <c r="CJ256" s="1"/>
      <c r="CK256" s="1"/>
      <c r="CL256" s="1"/>
      <c r="CM256" s="1"/>
      <c r="CN256" s="1"/>
      <c r="CO256" s="1"/>
      <c r="CP256" s="1"/>
    </row>
    <row r="257" ht="11.25" customHeight="1">
      <c r="A257" s="1"/>
      <c r="B257" s="75"/>
      <c r="C257" s="59"/>
      <c r="BU257" s="34"/>
      <c r="BV257" s="74"/>
      <c r="BW257" s="1"/>
      <c r="BX257" s="1"/>
      <c r="BY257" s="1"/>
      <c r="BZ257" s="1"/>
      <c r="CA257" s="1"/>
      <c r="CB257" s="1"/>
      <c r="CC257" s="1"/>
      <c r="CD257" s="1"/>
      <c r="CE257" s="1"/>
      <c r="CF257" s="1"/>
      <c r="CG257" s="1"/>
      <c r="CH257" s="1"/>
      <c r="CI257" s="1"/>
      <c r="CJ257" s="1"/>
      <c r="CK257" s="1"/>
      <c r="CL257" s="1"/>
      <c r="CM257" s="1"/>
      <c r="CN257" s="1"/>
      <c r="CO257" s="1"/>
      <c r="CP257" s="1"/>
    </row>
    <row r="258" ht="11.25" customHeight="1">
      <c r="A258" s="1"/>
      <c r="B258" s="75"/>
      <c r="C258" s="59"/>
      <c r="BU258" s="34"/>
      <c r="BV258" s="74"/>
      <c r="BW258" s="1"/>
      <c r="BX258" s="1"/>
      <c r="BY258" s="1"/>
      <c r="BZ258" s="1"/>
      <c r="CA258" s="1"/>
      <c r="CB258" s="1"/>
      <c r="CC258" s="1"/>
      <c r="CD258" s="1"/>
      <c r="CE258" s="1"/>
      <c r="CF258" s="1"/>
      <c r="CG258" s="1"/>
      <c r="CH258" s="1"/>
      <c r="CI258" s="1"/>
      <c r="CJ258" s="1"/>
      <c r="CK258" s="1"/>
      <c r="CL258" s="1"/>
      <c r="CM258" s="1"/>
      <c r="CN258" s="1"/>
      <c r="CO258" s="1"/>
      <c r="CP258" s="1"/>
    </row>
    <row r="259" ht="11.25" customHeight="1">
      <c r="A259" s="1"/>
      <c r="B259" s="75"/>
      <c r="C259" s="59"/>
      <c r="BU259" s="34"/>
      <c r="BV259" s="74"/>
      <c r="BW259" s="1"/>
      <c r="BX259" s="1"/>
      <c r="BY259" s="1"/>
      <c r="BZ259" s="1"/>
      <c r="CA259" s="1"/>
      <c r="CB259" s="1"/>
      <c r="CC259" s="1"/>
      <c r="CD259" s="1"/>
      <c r="CE259" s="1"/>
      <c r="CF259" s="1"/>
      <c r="CG259" s="1"/>
      <c r="CH259" s="1"/>
      <c r="CI259" s="1"/>
      <c r="CJ259" s="1"/>
      <c r="CK259" s="1"/>
      <c r="CL259" s="1"/>
      <c r="CM259" s="1"/>
      <c r="CN259" s="1"/>
      <c r="CO259" s="1"/>
      <c r="CP259" s="1"/>
    </row>
    <row r="260" ht="11.25" customHeight="1">
      <c r="A260" s="1"/>
      <c r="B260" s="75"/>
      <c r="C260" s="59"/>
      <c r="BU260" s="34"/>
      <c r="BV260" s="74"/>
      <c r="BW260" s="1"/>
      <c r="BX260" s="1"/>
      <c r="BY260" s="1"/>
      <c r="BZ260" s="1"/>
      <c r="CA260" s="1"/>
      <c r="CB260" s="1"/>
      <c r="CC260" s="1"/>
      <c r="CD260" s="1"/>
      <c r="CE260" s="1"/>
      <c r="CF260" s="1"/>
      <c r="CG260" s="1"/>
      <c r="CH260" s="1"/>
      <c r="CI260" s="1"/>
      <c r="CJ260" s="1"/>
      <c r="CK260" s="1"/>
      <c r="CL260" s="1"/>
      <c r="CM260" s="1"/>
      <c r="CN260" s="1"/>
      <c r="CO260" s="1"/>
      <c r="CP260" s="1"/>
    </row>
    <row r="261" ht="11.25" customHeight="1">
      <c r="A261" s="1"/>
      <c r="B261" s="75"/>
      <c r="C261" s="59"/>
      <c r="BU261" s="34"/>
      <c r="BV261" s="74"/>
      <c r="BW261" s="1"/>
      <c r="BX261" s="1"/>
      <c r="BY261" s="1"/>
      <c r="BZ261" s="1"/>
      <c r="CA261" s="1"/>
      <c r="CB261" s="1"/>
      <c r="CC261" s="1"/>
      <c r="CD261" s="1"/>
      <c r="CE261" s="1"/>
      <c r="CF261" s="1"/>
      <c r="CG261" s="1"/>
      <c r="CH261" s="1"/>
      <c r="CI261" s="1"/>
      <c r="CJ261" s="1"/>
      <c r="CK261" s="1"/>
      <c r="CL261" s="1"/>
      <c r="CM261" s="1"/>
      <c r="CN261" s="1"/>
      <c r="CO261" s="1"/>
      <c r="CP261" s="1"/>
    </row>
    <row r="262" ht="11.25" customHeight="1">
      <c r="A262" s="1"/>
      <c r="B262" s="75"/>
      <c r="C262" s="59"/>
      <c r="BU262" s="34"/>
      <c r="BV262" s="74"/>
      <c r="BW262" s="1"/>
      <c r="BX262" s="1"/>
      <c r="BY262" s="1"/>
      <c r="BZ262" s="1"/>
      <c r="CA262" s="1"/>
      <c r="CB262" s="1"/>
      <c r="CC262" s="1"/>
      <c r="CD262" s="1"/>
      <c r="CE262" s="1"/>
      <c r="CF262" s="1"/>
      <c r="CG262" s="1"/>
      <c r="CH262" s="1"/>
      <c r="CI262" s="1"/>
      <c r="CJ262" s="1"/>
      <c r="CK262" s="1"/>
      <c r="CL262" s="1"/>
      <c r="CM262" s="1"/>
      <c r="CN262" s="1"/>
      <c r="CO262" s="1"/>
      <c r="CP262" s="1"/>
    </row>
    <row r="263" ht="11.25" customHeight="1">
      <c r="A263" s="1"/>
      <c r="B263" s="75"/>
      <c r="C263" s="59"/>
      <c r="BU263" s="34"/>
      <c r="BV263" s="74"/>
      <c r="BW263" s="1"/>
      <c r="BX263" s="1"/>
      <c r="BY263" s="1"/>
      <c r="BZ263" s="1"/>
      <c r="CA263" s="1"/>
      <c r="CB263" s="1"/>
      <c r="CC263" s="1"/>
      <c r="CD263" s="1"/>
      <c r="CE263" s="1"/>
      <c r="CF263" s="1"/>
      <c r="CG263" s="1"/>
      <c r="CH263" s="1"/>
      <c r="CI263" s="1"/>
      <c r="CJ263" s="1"/>
      <c r="CK263" s="1"/>
      <c r="CL263" s="1"/>
      <c r="CM263" s="1"/>
      <c r="CN263" s="1"/>
      <c r="CO263" s="1"/>
      <c r="CP263" s="1"/>
    </row>
    <row r="264" ht="11.25" customHeight="1">
      <c r="A264" s="1"/>
      <c r="B264" s="75"/>
      <c r="C264" s="59"/>
      <c r="BU264" s="34"/>
      <c r="BV264" s="74"/>
      <c r="BW264" s="1"/>
      <c r="BX264" s="1"/>
      <c r="BY264" s="1"/>
      <c r="BZ264" s="1"/>
      <c r="CA264" s="1"/>
      <c r="CB264" s="1"/>
      <c r="CC264" s="1"/>
      <c r="CD264" s="1"/>
      <c r="CE264" s="1"/>
      <c r="CF264" s="1"/>
      <c r="CG264" s="1"/>
      <c r="CH264" s="1"/>
      <c r="CI264" s="1"/>
      <c r="CJ264" s="1"/>
      <c r="CK264" s="1"/>
      <c r="CL264" s="1"/>
      <c r="CM264" s="1"/>
      <c r="CN264" s="1"/>
      <c r="CO264" s="1"/>
      <c r="CP264" s="1"/>
    </row>
    <row r="265" ht="11.25" customHeight="1">
      <c r="A265" s="1"/>
      <c r="B265" s="75"/>
      <c r="C265" s="59"/>
      <c r="BU265" s="34"/>
      <c r="BV265" s="74"/>
      <c r="BW265" s="1"/>
      <c r="BX265" s="1"/>
      <c r="BY265" s="1"/>
      <c r="BZ265" s="1"/>
      <c r="CA265" s="1"/>
      <c r="CB265" s="1"/>
      <c r="CC265" s="1"/>
      <c r="CD265" s="1"/>
      <c r="CE265" s="1"/>
      <c r="CF265" s="1"/>
      <c r="CG265" s="1"/>
      <c r="CH265" s="1"/>
      <c r="CI265" s="1"/>
      <c r="CJ265" s="1"/>
      <c r="CK265" s="1"/>
      <c r="CL265" s="1"/>
      <c r="CM265" s="1"/>
      <c r="CN265" s="1"/>
      <c r="CO265" s="1"/>
      <c r="CP265" s="1"/>
    </row>
    <row r="266" ht="11.25" customHeight="1">
      <c r="A266" s="1"/>
      <c r="B266" s="75"/>
      <c r="C266" s="59"/>
      <c r="BU266" s="34"/>
      <c r="BV266" s="74"/>
      <c r="BW266" s="1"/>
      <c r="BX266" s="1"/>
      <c r="BY266" s="1"/>
      <c r="BZ266" s="1"/>
      <c r="CA266" s="1"/>
      <c r="CB266" s="1"/>
      <c r="CC266" s="1"/>
      <c r="CD266" s="1"/>
      <c r="CE266" s="1"/>
      <c r="CF266" s="1"/>
      <c r="CG266" s="1"/>
      <c r="CH266" s="1"/>
      <c r="CI266" s="1"/>
      <c r="CJ266" s="1"/>
      <c r="CK266" s="1"/>
      <c r="CL266" s="1"/>
      <c r="CM266" s="1"/>
      <c r="CN266" s="1"/>
      <c r="CO266" s="1"/>
      <c r="CP266" s="1"/>
    </row>
    <row r="267" ht="11.25" customHeight="1">
      <c r="A267" s="1"/>
      <c r="B267" s="75"/>
      <c r="C267" s="59"/>
      <c r="BU267" s="34"/>
      <c r="BV267" s="74"/>
      <c r="BW267" s="1"/>
      <c r="BX267" s="1"/>
      <c r="BY267" s="1"/>
      <c r="BZ267" s="1"/>
      <c r="CA267" s="1"/>
      <c r="CB267" s="1"/>
      <c r="CC267" s="1"/>
      <c r="CD267" s="1"/>
      <c r="CE267" s="1"/>
      <c r="CF267" s="1"/>
      <c r="CG267" s="1"/>
      <c r="CH267" s="1"/>
      <c r="CI267" s="1"/>
      <c r="CJ267" s="1"/>
      <c r="CK267" s="1"/>
      <c r="CL267" s="1"/>
      <c r="CM267" s="1"/>
      <c r="CN267" s="1"/>
      <c r="CO267" s="1"/>
      <c r="CP267" s="1"/>
    </row>
    <row r="268" ht="11.25" customHeight="1">
      <c r="A268" s="1"/>
      <c r="B268" s="75"/>
      <c r="C268" s="59"/>
      <c r="BU268" s="34"/>
      <c r="BV268" s="74"/>
      <c r="BW268" s="1"/>
      <c r="BX268" s="1"/>
      <c r="BY268" s="1"/>
      <c r="BZ268" s="1"/>
      <c r="CA268" s="1"/>
      <c r="CB268" s="1"/>
      <c r="CC268" s="1"/>
      <c r="CD268" s="1"/>
      <c r="CE268" s="1"/>
      <c r="CF268" s="1"/>
      <c r="CG268" s="1"/>
      <c r="CH268" s="1"/>
      <c r="CI268" s="1"/>
      <c r="CJ268" s="1"/>
      <c r="CK268" s="1"/>
      <c r="CL268" s="1"/>
      <c r="CM268" s="1"/>
      <c r="CN268" s="1"/>
      <c r="CO268" s="1"/>
      <c r="CP268" s="1"/>
    </row>
    <row r="269" ht="11.25" customHeight="1">
      <c r="A269" s="1"/>
      <c r="B269" s="75"/>
      <c r="C269" s="59"/>
      <c r="BU269" s="34"/>
      <c r="BV269" s="74"/>
      <c r="BW269" s="1"/>
      <c r="BX269" s="1"/>
      <c r="BY269" s="1"/>
      <c r="BZ269" s="1"/>
      <c r="CA269" s="1"/>
      <c r="CB269" s="1"/>
      <c r="CC269" s="1"/>
      <c r="CD269" s="1"/>
      <c r="CE269" s="1"/>
      <c r="CF269" s="1"/>
      <c r="CG269" s="1"/>
      <c r="CH269" s="1"/>
      <c r="CI269" s="1"/>
      <c r="CJ269" s="1"/>
      <c r="CK269" s="1"/>
      <c r="CL269" s="1"/>
      <c r="CM269" s="1"/>
      <c r="CN269" s="1"/>
      <c r="CO269" s="1"/>
      <c r="CP269" s="1"/>
    </row>
    <row r="270" ht="11.25" customHeight="1">
      <c r="A270" s="1"/>
      <c r="B270" s="75"/>
      <c r="C270" s="59"/>
      <c r="BU270" s="34"/>
      <c r="BV270" s="74"/>
      <c r="BW270" s="1"/>
      <c r="BX270" s="1"/>
      <c r="BY270" s="1"/>
      <c r="BZ270" s="1"/>
      <c r="CA270" s="1"/>
      <c r="CB270" s="1"/>
      <c r="CC270" s="1"/>
      <c r="CD270" s="1"/>
      <c r="CE270" s="1"/>
      <c r="CF270" s="1"/>
      <c r="CG270" s="1"/>
      <c r="CH270" s="1"/>
      <c r="CI270" s="1"/>
      <c r="CJ270" s="1"/>
      <c r="CK270" s="1"/>
      <c r="CL270" s="1"/>
      <c r="CM270" s="1"/>
      <c r="CN270" s="1"/>
      <c r="CO270" s="1"/>
      <c r="CP270" s="1"/>
    </row>
    <row r="271" ht="11.25" customHeight="1">
      <c r="A271" s="1"/>
      <c r="B271" s="75"/>
      <c r="C271" s="59"/>
      <c r="BU271" s="34"/>
      <c r="BV271" s="74"/>
      <c r="BW271" s="1"/>
      <c r="BX271" s="1"/>
      <c r="BY271" s="1"/>
      <c r="BZ271" s="1"/>
      <c r="CA271" s="1"/>
      <c r="CB271" s="1"/>
      <c r="CC271" s="1"/>
      <c r="CD271" s="1"/>
      <c r="CE271" s="1"/>
      <c r="CF271" s="1"/>
      <c r="CG271" s="1"/>
      <c r="CH271" s="1"/>
      <c r="CI271" s="1"/>
      <c r="CJ271" s="1"/>
      <c r="CK271" s="1"/>
      <c r="CL271" s="1"/>
      <c r="CM271" s="1"/>
      <c r="CN271" s="1"/>
      <c r="CO271" s="1"/>
      <c r="CP271" s="1"/>
    </row>
    <row r="272" ht="11.25" customHeight="1">
      <c r="A272" s="1"/>
      <c r="B272" s="75"/>
      <c r="C272" s="59"/>
      <c r="BU272" s="34"/>
      <c r="BV272" s="74"/>
      <c r="BW272" s="1"/>
      <c r="BX272" s="1"/>
      <c r="BY272" s="1"/>
      <c r="BZ272" s="1"/>
      <c r="CA272" s="1"/>
      <c r="CB272" s="1"/>
      <c r="CC272" s="1"/>
      <c r="CD272" s="1"/>
      <c r="CE272" s="1"/>
      <c r="CF272" s="1"/>
      <c r="CG272" s="1"/>
      <c r="CH272" s="1"/>
      <c r="CI272" s="1"/>
      <c r="CJ272" s="1"/>
      <c r="CK272" s="1"/>
      <c r="CL272" s="1"/>
      <c r="CM272" s="1"/>
      <c r="CN272" s="1"/>
      <c r="CO272" s="1"/>
      <c r="CP272" s="1"/>
    </row>
    <row r="273" ht="11.25" customHeight="1">
      <c r="A273" s="1"/>
      <c r="B273" s="75"/>
      <c r="C273" s="59"/>
      <c r="BU273" s="34"/>
      <c r="BV273" s="74"/>
      <c r="BW273" s="1"/>
      <c r="BX273" s="1"/>
      <c r="BY273" s="1"/>
      <c r="BZ273" s="1"/>
      <c r="CA273" s="1"/>
      <c r="CB273" s="1"/>
      <c r="CC273" s="1"/>
      <c r="CD273" s="1"/>
      <c r="CE273" s="1"/>
      <c r="CF273" s="1"/>
      <c r="CG273" s="1"/>
      <c r="CH273" s="1"/>
      <c r="CI273" s="1"/>
      <c r="CJ273" s="1"/>
      <c r="CK273" s="1"/>
      <c r="CL273" s="1"/>
      <c r="CM273" s="1"/>
      <c r="CN273" s="1"/>
      <c r="CO273" s="1"/>
      <c r="CP273" s="1"/>
    </row>
    <row r="274" ht="11.25" customHeight="1">
      <c r="A274" s="1"/>
      <c r="B274" s="75"/>
      <c r="C274" s="59"/>
      <c r="BU274" s="34"/>
      <c r="BV274" s="74"/>
      <c r="BW274" s="1"/>
      <c r="BX274" s="1"/>
      <c r="BY274" s="1"/>
      <c r="BZ274" s="1"/>
      <c r="CA274" s="1"/>
      <c r="CB274" s="1"/>
      <c r="CC274" s="1"/>
      <c r="CD274" s="1"/>
      <c r="CE274" s="1"/>
      <c r="CF274" s="1"/>
      <c r="CG274" s="1"/>
      <c r="CH274" s="1"/>
      <c r="CI274" s="1"/>
      <c r="CJ274" s="1"/>
      <c r="CK274" s="1"/>
      <c r="CL274" s="1"/>
      <c r="CM274" s="1"/>
      <c r="CN274" s="1"/>
      <c r="CO274" s="1"/>
      <c r="CP274" s="1"/>
    </row>
    <row r="275" ht="11.25" customHeight="1">
      <c r="A275" s="1"/>
      <c r="B275" s="75"/>
      <c r="C275" s="59"/>
      <c r="BU275" s="34"/>
      <c r="BV275" s="74"/>
      <c r="BW275" s="1"/>
      <c r="BX275" s="1"/>
      <c r="BY275" s="1"/>
      <c r="BZ275" s="1"/>
      <c r="CA275" s="1"/>
      <c r="CB275" s="1"/>
      <c r="CC275" s="1"/>
      <c r="CD275" s="1"/>
      <c r="CE275" s="1"/>
      <c r="CF275" s="1"/>
      <c r="CG275" s="1"/>
      <c r="CH275" s="1"/>
      <c r="CI275" s="1"/>
      <c r="CJ275" s="1"/>
      <c r="CK275" s="1"/>
      <c r="CL275" s="1"/>
      <c r="CM275" s="1"/>
      <c r="CN275" s="1"/>
      <c r="CO275" s="1"/>
      <c r="CP275" s="1"/>
    </row>
    <row r="276" ht="11.25" customHeight="1">
      <c r="A276" s="1"/>
      <c r="B276" s="75"/>
      <c r="C276" s="59"/>
      <c r="BU276" s="34"/>
      <c r="BV276" s="74"/>
      <c r="BW276" s="1"/>
      <c r="BX276" s="1"/>
      <c r="BY276" s="1"/>
      <c r="BZ276" s="1"/>
      <c r="CA276" s="1"/>
      <c r="CB276" s="1"/>
      <c r="CC276" s="1"/>
      <c r="CD276" s="1"/>
      <c r="CE276" s="1"/>
      <c r="CF276" s="1"/>
      <c r="CG276" s="1"/>
      <c r="CH276" s="1"/>
      <c r="CI276" s="1"/>
      <c r="CJ276" s="1"/>
      <c r="CK276" s="1"/>
      <c r="CL276" s="1"/>
      <c r="CM276" s="1"/>
      <c r="CN276" s="1"/>
      <c r="CO276" s="1"/>
      <c r="CP276" s="1"/>
    </row>
    <row r="277" ht="11.25" customHeight="1">
      <c r="A277" s="1"/>
      <c r="B277" s="75"/>
      <c r="C277" s="59"/>
      <c r="BU277" s="34"/>
      <c r="BV277" s="74"/>
      <c r="BW277" s="1"/>
      <c r="BX277" s="1"/>
      <c r="BY277" s="1"/>
      <c r="BZ277" s="1"/>
      <c r="CA277" s="1"/>
      <c r="CB277" s="1"/>
      <c r="CC277" s="1"/>
      <c r="CD277" s="1"/>
      <c r="CE277" s="1"/>
      <c r="CF277" s="1"/>
      <c r="CG277" s="1"/>
      <c r="CH277" s="1"/>
      <c r="CI277" s="1"/>
      <c r="CJ277" s="1"/>
      <c r="CK277" s="1"/>
      <c r="CL277" s="1"/>
      <c r="CM277" s="1"/>
      <c r="CN277" s="1"/>
      <c r="CO277" s="1"/>
      <c r="CP277" s="1"/>
    </row>
    <row r="278" ht="11.25" customHeight="1">
      <c r="A278" s="1"/>
      <c r="B278" s="75"/>
      <c r="C278" s="59"/>
      <c r="BU278" s="34"/>
      <c r="BV278" s="74"/>
      <c r="BW278" s="1"/>
      <c r="BX278" s="1"/>
      <c r="BY278" s="1"/>
      <c r="BZ278" s="1"/>
      <c r="CA278" s="1"/>
      <c r="CB278" s="1"/>
      <c r="CC278" s="1"/>
      <c r="CD278" s="1"/>
      <c r="CE278" s="1"/>
      <c r="CF278" s="1"/>
      <c r="CG278" s="1"/>
      <c r="CH278" s="1"/>
      <c r="CI278" s="1"/>
      <c r="CJ278" s="1"/>
      <c r="CK278" s="1"/>
      <c r="CL278" s="1"/>
      <c r="CM278" s="1"/>
      <c r="CN278" s="1"/>
      <c r="CO278" s="1"/>
      <c r="CP278" s="1"/>
    </row>
    <row r="279" ht="11.25" customHeight="1">
      <c r="A279" s="1"/>
      <c r="B279" s="75"/>
      <c r="C279" s="11"/>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3"/>
      <c r="BV279" s="74"/>
      <c r="BW279" s="1"/>
      <c r="BX279" s="1"/>
      <c r="BY279" s="1"/>
      <c r="BZ279" s="1"/>
      <c r="CA279" s="1"/>
      <c r="CB279" s="1"/>
      <c r="CC279" s="1"/>
      <c r="CD279" s="1"/>
      <c r="CE279" s="1"/>
      <c r="CF279" s="1"/>
      <c r="CG279" s="1"/>
      <c r="CH279" s="1"/>
      <c r="CI279" s="1"/>
      <c r="CJ279" s="1"/>
      <c r="CK279" s="1"/>
      <c r="CL279" s="1"/>
      <c r="CM279" s="1"/>
      <c r="CN279" s="1"/>
      <c r="CO279" s="1"/>
      <c r="CP279" s="1"/>
    </row>
    <row r="280" ht="11.25" customHeight="1">
      <c r="A280" s="1"/>
      <c r="B280" s="74"/>
      <c r="C280" s="74"/>
      <c r="D280" s="74"/>
      <c r="E280" s="74"/>
      <c r="F280" s="74"/>
      <c r="G280" s="74"/>
      <c r="H280" s="74"/>
      <c r="I280" s="74"/>
      <c r="J280" s="74"/>
      <c r="K280" s="74"/>
      <c r="L280" s="74"/>
      <c r="M280" s="74"/>
      <c r="N280" s="74"/>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c r="AL280" s="74"/>
      <c r="AM280" s="74"/>
      <c r="AN280" s="74"/>
      <c r="AO280" s="74"/>
      <c r="AP280" s="74"/>
      <c r="AQ280" s="74"/>
      <c r="AR280" s="74"/>
      <c r="AS280" s="74"/>
      <c r="AT280" s="74"/>
      <c r="AU280" s="74"/>
      <c r="AV280" s="74"/>
      <c r="AW280" s="74"/>
      <c r="AX280" s="74"/>
      <c r="AY280" s="74"/>
      <c r="AZ280" s="74"/>
      <c r="BA280" s="74"/>
      <c r="BB280" s="74"/>
      <c r="BC280" s="74"/>
      <c r="BD280" s="74"/>
      <c r="BE280" s="74"/>
      <c r="BF280" s="74"/>
      <c r="BG280" s="74"/>
      <c r="BH280" s="74"/>
      <c r="BI280" s="74"/>
      <c r="BJ280" s="74"/>
      <c r="BK280" s="74"/>
      <c r="BL280" s="74"/>
      <c r="BM280" s="74"/>
      <c r="BN280" s="74"/>
      <c r="BO280" s="74"/>
      <c r="BP280" s="74"/>
      <c r="BQ280" s="74"/>
      <c r="BR280" s="74"/>
      <c r="BS280" s="74"/>
      <c r="BT280" s="74"/>
      <c r="BU280" s="74"/>
      <c r="BV280" s="74"/>
      <c r="BW280" s="1"/>
      <c r="BX280" s="1"/>
      <c r="BY280" s="1"/>
      <c r="BZ280" s="1"/>
      <c r="CA280" s="1"/>
      <c r="CB280" s="1"/>
      <c r="CC280" s="1"/>
      <c r="CD280" s="1"/>
      <c r="CE280" s="1"/>
      <c r="CF280" s="1"/>
      <c r="CG280" s="1"/>
      <c r="CH280" s="1"/>
      <c r="CI280" s="1"/>
      <c r="CJ280" s="1"/>
      <c r="CK280" s="1"/>
      <c r="CL280" s="1"/>
      <c r="CM280" s="1"/>
      <c r="CN280" s="1"/>
      <c r="CO280" s="1"/>
      <c r="CP280" s="1"/>
    </row>
    <row r="281" ht="11.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row>
    <row r="282" ht="11.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row>
    <row r="283" ht="11.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row>
  </sheetData>
  <mergeCells count="897">
    <mergeCell ref="AT108:AU108"/>
    <mergeCell ref="AO106:AQ107"/>
    <mergeCell ref="AV111:BD112"/>
    <mergeCell ref="AV108:BD108"/>
    <mergeCell ref="AT111:AU112"/>
    <mergeCell ref="AT113:AU114"/>
    <mergeCell ref="AI116:AK117"/>
    <mergeCell ref="AI115:AK115"/>
    <mergeCell ref="AO95:AQ95"/>
    <mergeCell ref="AT95:BG96"/>
    <mergeCell ref="AT109:AU110"/>
    <mergeCell ref="AV125:BD126"/>
    <mergeCell ref="AI96:AK97"/>
    <mergeCell ref="AL106:AN107"/>
    <mergeCell ref="AT101:BG102"/>
    <mergeCell ref="BL153:BN154"/>
    <mergeCell ref="BI153:BK154"/>
    <mergeCell ref="BT155:BU155"/>
    <mergeCell ref="AZ153:BC154"/>
    <mergeCell ref="AB153:AD154"/>
    <mergeCell ref="Y153:AA154"/>
    <mergeCell ref="U153:X154"/>
    <mergeCell ref="BB155:BC155"/>
    <mergeCell ref="AJ155:AK155"/>
    <mergeCell ref="AF116:AH117"/>
    <mergeCell ref="AT127:AU128"/>
    <mergeCell ref="AF115:AH115"/>
    <mergeCell ref="X116:AB117"/>
    <mergeCell ref="Q116:S117"/>
    <mergeCell ref="N115:P115"/>
    <mergeCell ref="T116:V117"/>
    <mergeCell ref="N116:P117"/>
    <mergeCell ref="K116:M117"/>
    <mergeCell ref="AV127:BD128"/>
    <mergeCell ref="AV129:BD130"/>
    <mergeCell ref="AT129:AU130"/>
    <mergeCell ref="AT121:AU122"/>
    <mergeCell ref="AT123:AU124"/>
    <mergeCell ref="AT119:AU120"/>
    <mergeCell ref="AV123:BD124"/>
    <mergeCell ref="AT133:AU134"/>
    <mergeCell ref="AT131:AU132"/>
    <mergeCell ref="BH99:BU100"/>
    <mergeCell ref="BH101:BU102"/>
    <mergeCell ref="AF106:AH107"/>
    <mergeCell ref="AF105:AH105"/>
    <mergeCell ref="AF95:AH95"/>
    <mergeCell ref="AF96:AH97"/>
    <mergeCell ref="AT99:BG100"/>
    <mergeCell ref="AT97:BG98"/>
    <mergeCell ref="BH97:BU98"/>
    <mergeCell ref="BH95:BU96"/>
    <mergeCell ref="BE108:BU108"/>
    <mergeCell ref="AT105:BU106"/>
    <mergeCell ref="AG103:AK104"/>
    <mergeCell ref="O55:P56"/>
    <mergeCell ref="K47:N48"/>
    <mergeCell ref="I61:K62"/>
    <mergeCell ref="P47:AC48"/>
    <mergeCell ref="I58:K59"/>
    <mergeCell ref="L58:N59"/>
    <mergeCell ref="L57:N57"/>
    <mergeCell ref="H105:J105"/>
    <mergeCell ref="H85:J85"/>
    <mergeCell ref="H86:J87"/>
    <mergeCell ref="I72:K72"/>
    <mergeCell ref="K106:M107"/>
    <mergeCell ref="N106:P107"/>
    <mergeCell ref="Q106:S107"/>
    <mergeCell ref="AJ57:AL57"/>
    <mergeCell ref="AJ58:AL59"/>
    <mergeCell ref="BO49:BQ50"/>
    <mergeCell ref="BR49:BU50"/>
    <mergeCell ref="BL49:BN50"/>
    <mergeCell ref="BR51:BU52"/>
    <mergeCell ref="BL47:BN48"/>
    <mergeCell ref="BI49:BK50"/>
    <mergeCell ref="BF49:BH50"/>
    <mergeCell ref="BF51:BH52"/>
    <mergeCell ref="BD51:BE52"/>
    <mergeCell ref="AQ52:AT53"/>
    <mergeCell ref="AQ50:AT51"/>
    <mergeCell ref="AG64:AI65"/>
    <mergeCell ref="AD64:AF65"/>
    <mergeCell ref="BI47:BK48"/>
    <mergeCell ref="BF47:BH48"/>
    <mergeCell ref="AF52:AO53"/>
    <mergeCell ref="AQ54:AT55"/>
    <mergeCell ref="AW51:BC52"/>
    <mergeCell ref="AQ47:AT47"/>
    <mergeCell ref="Q76:S77"/>
    <mergeCell ref="N76:P77"/>
    <mergeCell ref="Z76:AB77"/>
    <mergeCell ref="BA74:BU75"/>
    <mergeCell ref="BA76:BU77"/>
    <mergeCell ref="AG67:AI68"/>
    <mergeCell ref="AD67:AF68"/>
    <mergeCell ref="AW66:AZ67"/>
    <mergeCell ref="AB67:AC68"/>
    <mergeCell ref="Y64:AA65"/>
    <mergeCell ref="AB64:AC65"/>
    <mergeCell ref="Y67:AA68"/>
    <mergeCell ref="AW64:AZ65"/>
    <mergeCell ref="BA66:BU67"/>
    <mergeCell ref="BA64:BU65"/>
    <mergeCell ref="Y58:AA59"/>
    <mergeCell ref="AB58:AC59"/>
    <mergeCell ref="Q54:S54"/>
    <mergeCell ref="T54:V54"/>
    <mergeCell ref="W54:Y54"/>
    <mergeCell ref="Q55:S56"/>
    <mergeCell ref="T55:V56"/>
    <mergeCell ref="AG57:AI57"/>
    <mergeCell ref="AW55:BU56"/>
    <mergeCell ref="AD57:AF57"/>
    <mergeCell ref="Y57:AA57"/>
    <mergeCell ref="O58:Q59"/>
    <mergeCell ref="O57:Q57"/>
    <mergeCell ref="BA58:BU59"/>
    <mergeCell ref="W55:Y56"/>
    <mergeCell ref="BL51:BN52"/>
    <mergeCell ref="BI51:BK52"/>
    <mergeCell ref="BO51:BQ52"/>
    <mergeCell ref="O64:Q65"/>
    <mergeCell ref="S64:X65"/>
    <mergeCell ref="K76:M77"/>
    <mergeCell ref="W76:Y77"/>
    <mergeCell ref="O67:Q68"/>
    <mergeCell ref="L67:N68"/>
    <mergeCell ref="L66:N66"/>
    <mergeCell ref="I67:K68"/>
    <mergeCell ref="S67:X68"/>
    <mergeCell ref="L73:N74"/>
    <mergeCell ref="C99:H100"/>
    <mergeCell ref="C96:G97"/>
    <mergeCell ref="H96:J97"/>
    <mergeCell ref="T96:V97"/>
    <mergeCell ref="T95:V95"/>
    <mergeCell ref="H95:J95"/>
    <mergeCell ref="C80:AQ81"/>
    <mergeCell ref="I89:AQ90"/>
    <mergeCell ref="C73:E74"/>
    <mergeCell ref="Q75:S75"/>
    <mergeCell ref="I76:J77"/>
    <mergeCell ref="I83:AE84"/>
    <mergeCell ref="F76:H77"/>
    <mergeCell ref="Z75:AB75"/>
    <mergeCell ref="AJ73:AL74"/>
    <mergeCell ref="AL85:AN85"/>
    <mergeCell ref="Q85:S85"/>
    <mergeCell ref="L64:N65"/>
    <mergeCell ref="I64:K65"/>
    <mergeCell ref="S58:X59"/>
    <mergeCell ref="S61:X62"/>
    <mergeCell ref="I73:K74"/>
    <mergeCell ref="C76:E77"/>
    <mergeCell ref="F72:H72"/>
    <mergeCell ref="C83:H84"/>
    <mergeCell ref="C86:G87"/>
    <mergeCell ref="C67:E68"/>
    <mergeCell ref="F67:H68"/>
    <mergeCell ref="C64:E65"/>
    <mergeCell ref="C61:E62"/>
    <mergeCell ref="F64:H65"/>
    <mergeCell ref="F60:H60"/>
    <mergeCell ref="F61:H62"/>
    <mergeCell ref="C55:K56"/>
    <mergeCell ref="C58:H59"/>
    <mergeCell ref="C31:G32"/>
    <mergeCell ref="H31:J32"/>
    <mergeCell ref="H34:J35"/>
    <mergeCell ref="K34:M35"/>
    <mergeCell ref="C42:I43"/>
    <mergeCell ref="C47:G48"/>
    <mergeCell ref="H47:J48"/>
    <mergeCell ref="C34:G35"/>
    <mergeCell ref="O34:Q35"/>
    <mergeCell ref="O28:Q29"/>
    <mergeCell ref="C28:G29"/>
    <mergeCell ref="M7:P8"/>
    <mergeCell ref="Q7:AE8"/>
    <mergeCell ref="Y11:AE12"/>
    <mergeCell ref="AF11:AI12"/>
    <mergeCell ref="AA18:AC18"/>
    <mergeCell ref="S18:U18"/>
    <mergeCell ref="W18:Y18"/>
    <mergeCell ref="C3:K11"/>
    <mergeCell ref="M3:P4"/>
    <mergeCell ref="M5:P6"/>
    <mergeCell ref="AF3:AI10"/>
    <mergeCell ref="AL38:AN39"/>
    <mergeCell ref="AQ39:AS39"/>
    <mergeCell ref="AQ38:AS38"/>
    <mergeCell ref="AL29:AN29"/>
    <mergeCell ref="AO29:AQ29"/>
    <mergeCell ref="AF30:AK31"/>
    <mergeCell ref="AP42:AT43"/>
    <mergeCell ref="AP40:AT41"/>
    <mergeCell ref="U42:X43"/>
    <mergeCell ref="U41:X41"/>
    <mergeCell ref="Z44:AC45"/>
    <mergeCell ref="U44:X45"/>
    <mergeCell ref="K31:M32"/>
    <mergeCell ref="O31:Q32"/>
    <mergeCell ref="S34:U35"/>
    <mergeCell ref="W34:Y35"/>
    <mergeCell ref="AA34:AC35"/>
    <mergeCell ref="W38:Y39"/>
    <mergeCell ref="R38:V39"/>
    <mergeCell ref="AC9:AE10"/>
    <mergeCell ref="Y9:AB10"/>
    <mergeCell ref="W28:Y29"/>
    <mergeCell ref="S28:U29"/>
    <mergeCell ref="AA31:AC32"/>
    <mergeCell ref="W31:Y32"/>
    <mergeCell ref="S31:U32"/>
    <mergeCell ref="AM153:AP154"/>
    <mergeCell ref="AE153:AG154"/>
    <mergeCell ref="AH153:AK154"/>
    <mergeCell ref="AW153:AY154"/>
    <mergeCell ref="AT153:AV154"/>
    <mergeCell ref="AQ153:AS154"/>
    <mergeCell ref="BE153:BH154"/>
    <mergeCell ref="J153:L154"/>
    <mergeCell ref="C153:F154"/>
    <mergeCell ref="R155:S155"/>
    <mergeCell ref="R156:S157"/>
    <mergeCell ref="BE156:BS157"/>
    <mergeCell ref="AM156:BA157"/>
    <mergeCell ref="AJ156:AK157"/>
    <mergeCell ref="U160:AK167"/>
    <mergeCell ref="U158:AK159"/>
    <mergeCell ref="BE160:BU167"/>
    <mergeCell ref="AM160:BC167"/>
    <mergeCell ref="C150:S151"/>
    <mergeCell ref="AH152:AK152"/>
    <mergeCell ref="AM150:BC151"/>
    <mergeCell ref="C148:P149"/>
    <mergeCell ref="AI147:AK147"/>
    <mergeCell ref="C145:BU146"/>
    <mergeCell ref="BS147:BU147"/>
    <mergeCell ref="BO153:BQ154"/>
    <mergeCell ref="BL152:BN152"/>
    <mergeCell ref="BO152:BQ152"/>
    <mergeCell ref="C158:S159"/>
    <mergeCell ref="M153:O154"/>
    <mergeCell ref="BS148:BU149"/>
    <mergeCell ref="BE148:BR149"/>
    <mergeCell ref="AM148:AZ149"/>
    <mergeCell ref="BE150:BU151"/>
    <mergeCell ref="BI152:BK152"/>
    <mergeCell ref="AC135:AE135"/>
    <mergeCell ref="X136:AB137"/>
    <mergeCell ref="AC126:AE127"/>
    <mergeCell ref="X126:AB127"/>
    <mergeCell ref="AF135:AH135"/>
    <mergeCell ref="AI135:AK135"/>
    <mergeCell ref="T135:V135"/>
    <mergeCell ref="AV137:BD138"/>
    <mergeCell ref="AV135:BD136"/>
    <mergeCell ref="U173:AK180"/>
    <mergeCell ref="AM173:BC180"/>
    <mergeCell ref="BB168:BC168"/>
    <mergeCell ref="BB169:BC170"/>
    <mergeCell ref="R182:S183"/>
    <mergeCell ref="C173:S180"/>
    <mergeCell ref="R181:S181"/>
    <mergeCell ref="C182:Q183"/>
    <mergeCell ref="U169:AI170"/>
    <mergeCell ref="AM238:BC245"/>
    <mergeCell ref="AM236:BC237"/>
    <mergeCell ref="C234:Q235"/>
    <mergeCell ref="R234:S235"/>
    <mergeCell ref="AM234:BA235"/>
    <mergeCell ref="BB234:BC235"/>
    <mergeCell ref="BE234:BS235"/>
    <mergeCell ref="BE238:BU245"/>
    <mergeCell ref="BE236:BU237"/>
    <mergeCell ref="I57:K57"/>
    <mergeCell ref="I60:K60"/>
    <mergeCell ref="L61:N62"/>
    <mergeCell ref="O61:Q62"/>
    <mergeCell ref="O63:Q63"/>
    <mergeCell ref="L63:N63"/>
    <mergeCell ref="L55:N56"/>
    <mergeCell ref="AW44:BC44"/>
    <mergeCell ref="AW45:BC46"/>
    <mergeCell ref="BO44:BQ44"/>
    <mergeCell ref="BO45:BQ46"/>
    <mergeCell ref="BR45:BU46"/>
    <mergeCell ref="BL45:BN46"/>
    <mergeCell ref="BD45:BE46"/>
    <mergeCell ref="BF45:BH46"/>
    <mergeCell ref="O60:Q60"/>
    <mergeCell ref="L60:N60"/>
    <mergeCell ref="BF44:BH44"/>
    <mergeCell ref="AP44:AT45"/>
    <mergeCell ref="AL44:AN45"/>
    <mergeCell ref="BR44:BU44"/>
    <mergeCell ref="BL44:BN44"/>
    <mergeCell ref="C51:AC52"/>
    <mergeCell ref="C38:G39"/>
    <mergeCell ref="K44:N45"/>
    <mergeCell ref="K42:N43"/>
    <mergeCell ref="P42:S43"/>
    <mergeCell ref="P41:S41"/>
    <mergeCell ref="P44:S45"/>
    <mergeCell ref="K41:N41"/>
    <mergeCell ref="AF42:AK43"/>
    <mergeCell ref="AL42:AN43"/>
    <mergeCell ref="AW42:BC43"/>
    <mergeCell ref="H38:J39"/>
    <mergeCell ref="K38:N39"/>
    <mergeCell ref="Z41:AC41"/>
    <mergeCell ref="Z42:AC43"/>
    <mergeCell ref="AL40:AN41"/>
    <mergeCell ref="Z38:AC39"/>
    <mergeCell ref="AF38:AK39"/>
    <mergeCell ref="BD40:BE41"/>
    <mergeCell ref="BD42:BE43"/>
    <mergeCell ref="BD38:BE39"/>
    <mergeCell ref="BD32:BE33"/>
    <mergeCell ref="BD36:BE37"/>
    <mergeCell ref="BD34:BE35"/>
    <mergeCell ref="BI40:BK41"/>
    <mergeCell ref="BF40:BH41"/>
    <mergeCell ref="BF38:BH39"/>
    <mergeCell ref="BO42:BQ43"/>
    <mergeCell ref="BO38:BQ39"/>
    <mergeCell ref="BF42:BH43"/>
    <mergeCell ref="BI42:BK43"/>
    <mergeCell ref="BF36:BH37"/>
    <mergeCell ref="BF34:BH35"/>
    <mergeCell ref="BL34:BN35"/>
    <mergeCell ref="BI34:BK35"/>
    <mergeCell ref="AW32:BC33"/>
    <mergeCell ref="AW31:BC31"/>
    <mergeCell ref="AW36:BC37"/>
    <mergeCell ref="AW34:BC35"/>
    <mergeCell ref="AW38:BC39"/>
    <mergeCell ref="AW40:BC41"/>
    <mergeCell ref="BI38:BK39"/>
    <mergeCell ref="BI32:BK33"/>
    <mergeCell ref="BL32:BN33"/>
    <mergeCell ref="BL31:BN31"/>
    <mergeCell ref="BI31:BK31"/>
    <mergeCell ref="BF32:BH33"/>
    <mergeCell ref="BF31:BH31"/>
    <mergeCell ref="BI36:BK37"/>
    <mergeCell ref="AL103:AQ104"/>
    <mergeCell ref="AO105:AQ105"/>
    <mergeCell ref="AL95:AN95"/>
    <mergeCell ref="AL93:AQ94"/>
    <mergeCell ref="AL96:AN97"/>
    <mergeCell ref="AO96:AQ97"/>
    <mergeCell ref="AI95:AK95"/>
    <mergeCell ref="N105:P105"/>
    <mergeCell ref="Q105:S105"/>
    <mergeCell ref="AI105:AK105"/>
    <mergeCell ref="I103:AE104"/>
    <mergeCell ref="I99:AQ100"/>
    <mergeCell ref="T105:V105"/>
    <mergeCell ref="K96:M97"/>
    <mergeCell ref="Q96:S97"/>
    <mergeCell ref="N96:P97"/>
    <mergeCell ref="K105:M105"/>
    <mergeCell ref="AD73:AF74"/>
    <mergeCell ref="AB73:AC74"/>
    <mergeCell ref="AG70:AI71"/>
    <mergeCell ref="AD70:AF71"/>
    <mergeCell ref="AB70:AC71"/>
    <mergeCell ref="AF86:AH87"/>
    <mergeCell ref="AF85:AH85"/>
    <mergeCell ref="AG83:AK84"/>
    <mergeCell ref="AI85:AK85"/>
    <mergeCell ref="AC86:AE87"/>
    <mergeCell ref="AC85:AE85"/>
    <mergeCell ref="AG58:AI59"/>
    <mergeCell ref="AF54:AO55"/>
    <mergeCell ref="AF47:AO47"/>
    <mergeCell ref="AG63:AI63"/>
    <mergeCell ref="AG60:AI60"/>
    <mergeCell ref="S73:X74"/>
    <mergeCell ref="Y73:AA74"/>
    <mergeCell ref="N86:P87"/>
    <mergeCell ref="K86:M87"/>
    <mergeCell ref="K70:Q71"/>
    <mergeCell ref="L72:N72"/>
    <mergeCell ref="N95:P95"/>
    <mergeCell ref="K95:M95"/>
    <mergeCell ref="T75:V75"/>
    <mergeCell ref="W75:Y75"/>
    <mergeCell ref="T76:V77"/>
    <mergeCell ref="S70:X71"/>
    <mergeCell ref="Y70:AA71"/>
    <mergeCell ref="Q86:S87"/>
    <mergeCell ref="AT135:AU136"/>
    <mergeCell ref="BE135:BU136"/>
    <mergeCell ref="AO135:AQ135"/>
    <mergeCell ref="AL135:AN135"/>
    <mergeCell ref="AC136:AE137"/>
    <mergeCell ref="AF136:AH137"/>
    <mergeCell ref="AT137:AU138"/>
    <mergeCell ref="BE139:BU140"/>
    <mergeCell ref="AT139:AU140"/>
    <mergeCell ref="AT141:AU142"/>
    <mergeCell ref="T136:V137"/>
    <mergeCell ref="AI136:AK137"/>
    <mergeCell ref="AV115:BD116"/>
    <mergeCell ref="AV117:BD118"/>
    <mergeCell ref="BE111:BU112"/>
    <mergeCell ref="BE109:BU110"/>
    <mergeCell ref="BE113:BU114"/>
    <mergeCell ref="BE119:BU120"/>
    <mergeCell ref="BA148:BC149"/>
    <mergeCell ref="BA147:BC147"/>
    <mergeCell ref="AZ152:BC152"/>
    <mergeCell ref="AW152:AY152"/>
    <mergeCell ref="BR153:BU154"/>
    <mergeCell ref="BR152:BU152"/>
    <mergeCell ref="BE133:BU134"/>
    <mergeCell ref="BE137:BU138"/>
    <mergeCell ref="BE129:BU130"/>
    <mergeCell ref="BE123:BU124"/>
    <mergeCell ref="BE125:BU126"/>
    <mergeCell ref="H126:J127"/>
    <mergeCell ref="I139:AQ140"/>
    <mergeCell ref="H125:J125"/>
    <mergeCell ref="T125:V125"/>
    <mergeCell ref="I123:AE124"/>
    <mergeCell ref="AG123:AK124"/>
    <mergeCell ref="AI125:AK125"/>
    <mergeCell ref="AC125:AE125"/>
    <mergeCell ref="AF125:AH125"/>
    <mergeCell ref="BH83:BU84"/>
    <mergeCell ref="BH85:BU86"/>
    <mergeCell ref="T86:V87"/>
    <mergeCell ref="X86:AB87"/>
    <mergeCell ref="BH87:BU88"/>
    <mergeCell ref="BH89:BU90"/>
    <mergeCell ref="BH91:BU92"/>
    <mergeCell ref="BH93:BU94"/>
    <mergeCell ref="AT93:BG94"/>
    <mergeCell ref="AL35:AN35"/>
    <mergeCell ref="AO35:AQ35"/>
    <mergeCell ref="AF40:AK41"/>
    <mergeCell ref="AF44:AK45"/>
    <mergeCell ref="AJ61:AL62"/>
    <mergeCell ref="AL30:AN31"/>
    <mergeCell ref="AL33:AN34"/>
    <mergeCell ref="AW23:BC24"/>
    <mergeCell ref="BF23:BH24"/>
    <mergeCell ref="BD23:BE24"/>
    <mergeCell ref="AR29:AT29"/>
    <mergeCell ref="BR38:BU39"/>
    <mergeCell ref="BR40:BU41"/>
    <mergeCell ref="BF21:BH22"/>
    <mergeCell ref="BF19:BH20"/>
    <mergeCell ref="BL42:BN43"/>
    <mergeCell ref="BI44:BK44"/>
    <mergeCell ref="BI45:BK46"/>
    <mergeCell ref="BR42:BU43"/>
    <mergeCell ref="BL38:BN39"/>
    <mergeCell ref="AJ63:AL63"/>
    <mergeCell ref="AD63:AF63"/>
    <mergeCell ref="AG61:AI62"/>
    <mergeCell ref="AN58:AU59"/>
    <mergeCell ref="AD58:AF59"/>
    <mergeCell ref="AJ67:AL68"/>
    <mergeCell ref="AJ64:AL65"/>
    <mergeCell ref="AG73:AI74"/>
    <mergeCell ref="AT91:BG92"/>
    <mergeCell ref="AT89:BG90"/>
    <mergeCell ref="AG93:AK94"/>
    <mergeCell ref="AW74:AZ77"/>
    <mergeCell ref="AW72:AZ73"/>
    <mergeCell ref="BA70:BU71"/>
    <mergeCell ref="BA72:BU73"/>
    <mergeCell ref="AW70:AZ71"/>
    <mergeCell ref="AT85:BG86"/>
    <mergeCell ref="AT87:BG88"/>
    <mergeCell ref="AO85:AQ85"/>
    <mergeCell ref="AO86:AQ87"/>
    <mergeCell ref="AT83:BG84"/>
    <mergeCell ref="AT80:BU81"/>
    <mergeCell ref="AL83:AQ84"/>
    <mergeCell ref="AR19:AT20"/>
    <mergeCell ref="AP19:AQ20"/>
    <mergeCell ref="BD19:BE20"/>
    <mergeCell ref="BD21:BE22"/>
    <mergeCell ref="BL21:BN22"/>
    <mergeCell ref="BI21:BK22"/>
    <mergeCell ref="AW21:BC22"/>
    <mergeCell ref="AW19:BC20"/>
    <mergeCell ref="BI27:BK28"/>
    <mergeCell ref="BI19:BK20"/>
    <mergeCell ref="BL40:BN41"/>
    <mergeCell ref="BO40:BQ41"/>
    <mergeCell ref="CH56:CK57"/>
    <mergeCell ref="BX56:CD57"/>
    <mergeCell ref="CE56:CG57"/>
    <mergeCell ref="BX54:CI55"/>
    <mergeCell ref="BX60:CE61"/>
    <mergeCell ref="BX64:CN65"/>
    <mergeCell ref="BA68:BU69"/>
    <mergeCell ref="AW58:AZ59"/>
    <mergeCell ref="AW60:AZ61"/>
    <mergeCell ref="AW62:AZ63"/>
    <mergeCell ref="AW68:AZ69"/>
    <mergeCell ref="BX58:CJ59"/>
    <mergeCell ref="F73:H74"/>
    <mergeCell ref="F75:H75"/>
    <mergeCell ref="C93:H94"/>
    <mergeCell ref="C89:H90"/>
    <mergeCell ref="K75:M75"/>
    <mergeCell ref="N75:P75"/>
    <mergeCell ref="AI86:AK87"/>
    <mergeCell ref="AL86:AN87"/>
    <mergeCell ref="K85:M85"/>
    <mergeCell ref="T85:V85"/>
    <mergeCell ref="N85:P85"/>
    <mergeCell ref="Q95:S95"/>
    <mergeCell ref="I93:AE94"/>
    <mergeCell ref="C70:J71"/>
    <mergeCell ref="AJ70:AL71"/>
    <mergeCell ref="AF26:AT27"/>
    <mergeCell ref="AO30:AQ31"/>
    <mergeCell ref="H22:J23"/>
    <mergeCell ref="C22:G23"/>
    <mergeCell ref="C25:G26"/>
    <mergeCell ref="H25:J26"/>
    <mergeCell ref="BR21:BU22"/>
    <mergeCell ref="H28:J29"/>
    <mergeCell ref="K28:M29"/>
    <mergeCell ref="K37:N37"/>
    <mergeCell ref="H37:J37"/>
    <mergeCell ref="AR35:AT35"/>
    <mergeCell ref="AJ22:AL23"/>
    <mergeCell ref="K25:M26"/>
    <mergeCell ref="AL32:AN32"/>
    <mergeCell ref="AF35:AK35"/>
    <mergeCell ref="AA28:AC29"/>
    <mergeCell ref="W22:Y23"/>
    <mergeCell ref="BO21:BQ22"/>
    <mergeCell ref="BL23:BN24"/>
    <mergeCell ref="BO23:BQ24"/>
    <mergeCell ref="BI25:BK26"/>
    <mergeCell ref="AW25:BC26"/>
    <mergeCell ref="BF25:BH26"/>
    <mergeCell ref="BD25:BE26"/>
    <mergeCell ref="BO25:BQ26"/>
    <mergeCell ref="BL25:BN26"/>
    <mergeCell ref="O22:Q23"/>
    <mergeCell ref="K22:M23"/>
    <mergeCell ref="S22:U23"/>
    <mergeCell ref="O25:Q26"/>
    <mergeCell ref="AJ21:AL21"/>
    <mergeCell ref="AM21:AO21"/>
    <mergeCell ref="AO33:AQ34"/>
    <mergeCell ref="AR33:AT34"/>
    <mergeCell ref="AR32:AT32"/>
    <mergeCell ref="AO32:AQ32"/>
    <mergeCell ref="AR30:AT31"/>
    <mergeCell ref="AP22:AQ23"/>
    <mergeCell ref="AM22:AO23"/>
    <mergeCell ref="CC18:CE19"/>
    <mergeCell ref="BX18:CB19"/>
    <mergeCell ref="CF20:CK21"/>
    <mergeCell ref="CC20:CE21"/>
    <mergeCell ref="CL20:CN21"/>
    <mergeCell ref="BX20:CB21"/>
    <mergeCell ref="CG18:CK19"/>
    <mergeCell ref="CL18:CN19"/>
    <mergeCell ref="BO19:BQ20"/>
    <mergeCell ref="BL19:BN20"/>
    <mergeCell ref="K19:M20"/>
    <mergeCell ref="BX15:CN16"/>
    <mergeCell ref="AM19:AO20"/>
    <mergeCell ref="O18:Q18"/>
    <mergeCell ref="H18:J18"/>
    <mergeCell ref="C15:AC16"/>
    <mergeCell ref="W37:Y37"/>
    <mergeCell ref="Z37:AC37"/>
    <mergeCell ref="S25:U26"/>
    <mergeCell ref="AR36:AT37"/>
    <mergeCell ref="AF36:AK37"/>
    <mergeCell ref="AL36:AN37"/>
    <mergeCell ref="AO36:AQ37"/>
    <mergeCell ref="AW29:BC30"/>
    <mergeCell ref="BF29:BH30"/>
    <mergeCell ref="BD29:BE30"/>
    <mergeCell ref="BI29:BK30"/>
    <mergeCell ref="AW27:BC28"/>
    <mergeCell ref="CC22:CE23"/>
    <mergeCell ref="BX22:CB23"/>
    <mergeCell ref="BR34:BU35"/>
    <mergeCell ref="BR32:BU33"/>
    <mergeCell ref="BR23:BU24"/>
    <mergeCell ref="BR25:BU26"/>
    <mergeCell ref="BR19:BU20"/>
    <mergeCell ref="BO27:BQ28"/>
    <mergeCell ref="BL27:BN28"/>
    <mergeCell ref="BI23:BK24"/>
    <mergeCell ref="O19:Q20"/>
    <mergeCell ref="S19:U20"/>
    <mergeCell ref="C19:G20"/>
    <mergeCell ref="H19:J20"/>
    <mergeCell ref="BO29:BQ30"/>
    <mergeCell ref="BR27:BU28"/>
    <mergeCell ref="BF27:BH28"/>
    <mergeCell ref="BD27:BE28"/>
    <mergeCell ref="BO32:BQ33"/>
    <mergeCell ref="BO34:BQ35"/>
    <mergeCell ref="BL29:BN30"/>
    <mergeCell ref="BR36:BU37"/>
    <mergeCell ref="BL36:BN37"/>
    <mergeCell ref="AY9:AZ10"/>
    <mergeCell ref="AS11:AV12"/>
    <mergeCell ref="AY7:AZ8"/>
    <mergeCell ref="AY5:AZ6"/>
    <mergeCell ref="AW18:BC18"/>
    <mergeCell ref="AJ9:AX10"/>
    <mergeCell ref="AJ5:AX6"/>
    <mergeCell ref="AJ7:AX8"/>
    <mergeCell ref="BA9:BC10"/>
    <mergeCell ref="BA7:BC8"/>
    <mergeCell ref="AJ11:AR12"/>
    <mergeCell ref="AR22:AT23"/>
    <mergeCell ref="AR21:AT21"/>
    <mergeCell ref="AA22:AC23"/>
    <mergeCell ref="W19:Y20"/>
    <mergeCell ref="W25:Y26"/>
    <mergeCell ref="AA25:AC26"/>
    <mergeCell ref="AJ19:AL20"/>
    <mergeCell ref="BL18:BN18"/>
    <mergeCell ref="BO18:BQ18"/>
    <mergeCell ref="BR18:BU18"/>
    <mergeCell ref="AW15:BU16"/>
    <mergeCell ref="BR29:BU30"/>
    <mergeCell ref="BR31:BU31"/>
    <mergeCell ref="BO31:BQ31"/>
    <mergeCell ref="BO36:BQ37"/>
    <mergeCell ref="AA19:AC20"/>
    <mergeCell ref="AF19:AI20"/>
    <mergeCell ref="K18:M18"/>
    <mergeCell ref="AJ18:AL18"/>
    <mergeCell ref="AM18:AO18"/>
    <mergeCell ref="BF18:BH18"/>
    <mergeCell ref="BI18:BK18"/>
    <mergeCell ref="AF18:AI18"/>
    <mergeCell ref="BA5:BC6"/>
    <mergeCell ref="BA3:BC4"/>
    <mergeCell ref="AJ3:AX4"/>
    <mergeCell ref="AY3:AZ4"/>
    <mergeCell ref="M9:P10"/>
    <mergeCell ref="M11:P12"/>
    <mergeCell ref="Q11:X12"/>
    <mergeCell ref="Q9:X10"/>
    <mergeCell ref="Q5:AE6"/>
    <mergeCell ref="Q3:AE4"/>
    <mergeCell ref="AR18:AT18"/>
    <mergeCell ref="AF15:AT16"/>
    <mergeCell ref="AL105:AN105"/>
    <mergeCell ref="AI106:AK107"/>
    <mergeCell ref="I109:AQ110"/>
    <mergeCell ref="I113:AE114"/>
    <mergeCell ref="AG113:AK114"/>
    <mergeCell ref="X106:AB107"/>
    <mergeCell ref="T106:V107"/>
    <mergeCell ref="AL113:AQ114"/>
    <mergeCell ref="AG133:AK134"/>
    <mergeCell ref="AL136:AN137"/>
    <mergeCell ref="I133:AE134"/>
    <mergeCell ref="I129:AQ130"/>
    <mergeCell ref="BE121:BU122"/>
    <mergeCell ref="AT125:AU126"/>
    <mergeCell ref="AV121:BD122"/>
    <mergeCell ref="AV119:BD120"/>
    <mergeCell ref="AV131:BD132"/>
    <mergeCell ref="AV133:BD134"/>
    <mergeCell ref="BE127:BU128"/>
    <mergeCell ref="BE131:BU132"/>
    <mergeCell ref="AV109:BD110"/>
    <mergeCell ref="AV113:BD114"/>
    <mergeCell ref="C160:S167"/>
    <mergeCell ref="G152:I152"/>
    <mergeCell ref="G153:I154"/>
    <mergeCell ref="AM171:BC172"/>
    <mergeCell ref="U171:AK172"/>
    <mergeCell ref="C116:G117"/>
    <mergeCell ref="C119:H120"/>
    <mergeCell ref="C109:H110"/>
    <mergeCell ref="C123:H124"/>
    <mergeCell ref="C113:H114"/>
    <mergeCell ref="C126:G127"/>
    <mergeCell ref="C136:G137"/>
    <mergeCell ref="C139:H140"/>
    <mergeCell ref="C133:H134"/>
    <mergeCell ref="H106:J107"/>
    <mergeCell ref="C171:S172"/>
    <mergeCell ref="C169:Q170"/>
    <mergeCell ref="AM169:BA170"/>
    <mergeCell ref="AJ168:AK168"/>
    <mergeCell ref="AM158:BC159"/>
    <mergeCell ref="AJ169:AK170"/>
    <mergeCell ref="C129:H130"/>
    <mergeCell ref="BT194:BU194"/>
    <mergeCell ref="BT195:BU196"/>
    <mergeCell ref="AJ195:AK196"/>
    <mergeCell ref="BE171:BU172"/>
    <mergeCell ref="BE182:BS183"/>
    <mergeCell ref="BE186:BU193"/>
    <mergeCell ref="BT182:BU183"/>
    <mergeCell ref="BE195:BS196"/>
    <mergeCell ref="BE184:BU185"/>
    <mergeCell ref="BE173:BU180"/>
    <mergeCell ref="BT181:BU181"/>
    <mergeCell ref="N135:P135"/>
    <mergeCell ref="BE141:BU142"/>
    <mergeCell ref="AV141:BD142"/>
    <mergeCell ref="AV139:BD140"/>
    <mergeCell ref="C106:G107"/>
    <mergeCell ref="C103:H104"/>
    <mergeCell ref="R169:S170"/>
    <mergeCell ref="R168:S168"/>
    <mergeCell ref="U182:AI183"/>
    <mergeCell ref="AM182:BA183"/>
    <mergeCell ref="AJ182:AK183"/>
    <mergeCell ref="AJ181:AK181"/>
    <mergeCell ref="BB181:BC181"/>
    <mergeCell ref="BB182:BC183"/>
    <mergeCell ref="C156:Q157"/>
    <mergeCell ref="BB156:BC157"/>
    <mergeCell ref="U156:AI157"/>
    <mergeCell ref="BT156:BU157"/>
    <mergeCell ref="BE158:BU159"/>
    <mergeCell ref="BE169:BS170"/>
    <mergeCell ref="BT169:BU170"/>
    <mergeCell ref="BT168:BU168"/>
    <mergeCell ref="AM210:BC211"/>
    <mergeCell ref="AM212:BC219"/>
    <mergeCell ref="AM225:BC232"/>
    <mergeCell ref="AM223:BC224"/>
    <mergeCell ref="AM221:BA222"/>
    <mergeCell ref="BB221:BC222"/>
    <mergeCell ref="BE221:BS222"/>
    <mergeCell ref="BT221:BU222"/>
    <mergeCell ref="BE225:BU232"/>
    <mergeCell ref="BE212:BU219"/>
    <mergeCell ref="BE210:BU211"/>
    <mergeCell ref="BT208:BU209"/>
    <mergeCell ref="BE208:BS209"/>
    <mergeCell ref="AM208:BA209"/>
    <mergeCell ref="AJ207:AK207"/>
    <mergeCell ref="AJ208:AK209"/>
    <mergeCell ref="AJ220:AK220"/>
    <mergeCell ref="BB207:BC207"/>
    <mergeCell ref="BB220:BC220"/>
    <mergeCell ref="BT207:BU207"/>
    <mergeCell ref="U225:AK232"/>
    <mergeCell ref="R221:S222"/>
    <mergeCell ref="C225:S232"/>
    <mergeCell ref="C212:S219"/>
    <mergeCell ref="R220:S220"/>
    <mergeCell ref="AJ234:AK235"/>
    <mergeCell ref="U234:AI235"/>
    <mergeCell ref="U208:AI209"/>
    <mergeCell ref="R208:S209"/>
    <mergeCell ref="C208:Q209"/>
    <mergeCell ref="U210:AK211"/>
    <mergeCell ref="U238:AK245"/>
    <mergeCell ref="U236:AK237"/>
    <mergeCell ref="C238:S245"/>
    <mergeCell ref="C236:S237"/>
    <mergeCell ref="R233:S233"/>
    <mergeCell ref="AJ233:AK233"/>
    <mergeCell ref="C210:S211"/>
    <mergeCell ref="AM199:BC206"/>
    <mergeCell ref="AM197:BC198"/>
    <mergeCell ref="AM195:BA196"/>
    <mergeCell ref="BB195:BC196"/>
    <mergeCell ref="AJ194:AK194"/>
    <mergeCell ref="AM186:BC193"/>
    <mergeCell ref="BB194:BC194"/>
    <mergeCell ref="AM184:BC185"/>
    <mergeCell ref="BB208:BC209"/>
    <mergeCell ref="U186:AK193"/>
    <mergeCell ref="U184:AK185"/>
    <mergeCell ref="C248:BU249"/>
    <mergeCell ref="C250:BU279"/>
    <mergeCell ref="U212:AK219"/>
    <mergeCell ref="U223:AK224"/>
    <mergeCell ref="U221:AI222"/>
    <mergeCell ref="AJ221:AK222"/>
    <mergeCell ref="U199:AK206"/>
    <mergeCell ref="BT220:BU220"/>
    <mergeCell ref="BE223:BU224"/>
    <mergeCell ref="BT234:BU235"/>
    <mergeCell ref="BT233:BU233"/>
    <mergeCell ref="BE199:BU206"/>
    <mergeCell ref="BB233:BC233"/>
    <mergeCell ref="BE197:BU198"/>
    <mergeCell ref="C221:Q222"/>
    <mergeCell ref="C223:S224"/>
    <mergeCell ref="C199:S206"/>
    <mergeCell ref="R207:S207"/>
    <mergeCell ref="C184:S185"/>
    <mergeCell ref="C197:S198"/>
    <mergeCell ref="C195:Q196"/>
    <mergeCell ref="C186:S193"/>
    <mergeCell ref="R195:S196"/>
    <mergeCell ref="R194:S194"/>
    <mergeCell ref="U195:AI196"/>
    <mergeCell ref="U197:AK198"/>
    <mergeCell ref="AO116:AQ117"/>
    <mergeCell ref="AO115:AQ115"/>
    <mergeCell ref="AT115:AU116"/>
    <mergeCell ref="BE117:BU118"/>
    <mergeCell ref="BE115:BU116"/>
    <mergeCell ref="AT117:AU118"/>
    <mergeCell ref="Q115:S115"/>
    <mergeCell ref="T115:V115"/>
    <mergeCell ref="AL115:AN115"/>
    <mergeCell ref="AC116:AE117"/>
    <mergeCell ref="AC115:AE115"/>
    <mergeCell ref="AL116:AN117"/>
    <mergeCell ref="H115:J115"/>
    <mergeCell ref="K115:M115"/>
    <mergeCell ref="H116:J117"/>
    <mergeCell ref="I119:AQ120"/>
    <mergeCell ref="Q148:S149"/>
    <mergeCell ref="P153:S154"/>
    <mergeCell ref="M152:O152"/>
    <mergeCell ref="N126:P127"/>
    <mergeCell ref="K126:M127"/>
    <mergeCell ref="Q125:S125"/>
    <mergeCell ref="K125:M125"/>
    <mergeCell ref="N125:P125"/>
    <mergeCell ref="Q147:S147"/>
    <mergeCell ref="N136:P137"/>
    <mergeCell ref="Q126:S127"/>
    <mergeCell ref="AF126:AH127"/>
    <mergeCell ref="AI126:AK127"/>
    <mergeCell ref="T126:V127"/>
    <mergeCell ref="AL123:AQ124"/>
    <mergeCell ref="AO136:AQ137"/>
    <mergeCell ref="AO126:AQ127"/>
    <mergeCell ref="AO125:AQ125"/>
    <mergeCell ref="AL126:AN127"/>
    <mergeCell ref="AL133:AQ134"/>
    <mergeCell ref="AL125:AN125"/>
    <mergeCell ref="BX66:CN83"/>
    <mergeCell ref="BX88:CN109"/>
    <mergeCell ref="BX86:CN87"/>
    <mergeCell ref="U150:AK151"/>
    <mergeCell ref="Y152:AA152"/>
    <mergeCell ref="AE152:AG152"/>
    <mergeCell ref="AB152:AD152"/>
    <mergeCell ref="AQ152:AS152"/>
    <mergeCell ref="AT152:AV152"/>
    <mergeCell ref="AI148:AK149"/>
    <mergeCell ref="U148:AH149"/>
    <mergeCell ref="P152:S152"/>
    <mergeCell ref="J152:L152"/>
    <mergeCell ref="K136:M137"/>
    <mergeCell ref="H136:J137"/>
    <mergeCell ref="K135:M135"/>
    <mergeCell ref="H135:J135"/>
    <mergeCell ref="Q136:S137"/>
    <mergeCell ref="Q135:S135"/>
    <mergeCell ref="BA62:BU63"/>
    <mergeCell ref="BA60:BU61"/>
    <mergeCell ref="AJ60:AL60"/>
    <mergeCell ref="Y61:AA62"/>
    <mergeCell ref="AB61:AC62"/>
    <mergeCell ref="AD60:AF60"/>
    <mergeCell ref="AD61:AF62"/>
    <mergeCell ref="AC106:AE107"/>
    <mergeCell ref="AC105:AE105"/>
    <mergeCell ref="AC95:AE95"/>
    <mergeCell ref="X96:AB97"/>
    <mergeCell ref="AC96:AE97"/>
    <mergeCell ref="AW47:BC48"/>
    <mergeCell ref="AW49:BC50"/>
    <mergeCell ref="AQ48:AT49"/>
    <mergeCell ref="AF48:AO49"/>
    <mergeCell ref="BD47:BE48"/>
    <mergeCell ref="AF50:AO51"/>
    <mergeCell ref="BD49:BE50"/>
    <mergeCell ref="AN60:AU77"/>
    <mergeCell ref="CJ54:CN55"/>
    <mergeCell ref="CL56:CN57"/>
    <mergeCell ref="BR47:BU48"/>
    <mergeCell ref="BO47:BQ48"/>
    <mergeCell ref="CG60:CN61"/>
    <mergeCell ref="CL58:CN59"/>
    <mergeCell ref="BX51:CN52"/>
  </mergeCells>
  <conditionalFormatting sqref="BR19:BU52">
    <cfRule type="cellIs" dxfId="0" priority="1" operator="equal">
      <formula>"Yes"</formula>
    </cfRule>
  </conditionalFormatting>
  <conditionalFormatting sqref="BR19:BU52">
    <cfRule type="cellIs" dxfId="1" priority="2" operator="equal">
      <formula>"No"</formula>
    </cfRule>
  </conditionalFormatting>
  <conditionalFormatting sqref="K42:N43">
    <cfRule type="expression" dxfId="1" priority="3">
      <formula>OR(P42=K42,U42=K42,Z42=K42)</formula>
    </cfRule>
  </conditionalFormatting>
  <conditionalFormatting sqref="P42:S43">
    <cfRule type="expression" dxfId="1" priority="4">
      <formula>OR(K42=P42,U42=P42,Z42=P42)</formula>
    </cfRule>
  </conditionalFormatting>
  <conditionalFormatting sqref="U42:X43">
    <cfRule type="expression" dxfId="1" priority="5">
      <formula>OR(P42=U42,K42=U42,Z42=U42)</formula>
    </cfRule>
  </conditionalFormatting>
  <conditionalFormatting sqref="Z42:AC43">
    <cfRule type="expression" dxfId="1" priority="6">
      <formula>OR(P42=Z42,U42=Z42,K42=Z42)</formula>
    </cfRule>
  </conditionalFormatting>
  <conditionalFormatting sqref="K38:N39">
    <cfRule type="expression" dxfId="1" priority="7">
      <formula>K38=Z38</formula>
    </cfRule>
  </conditionalFormatting>
  <conditionalFormatting sqref="AJ9:AX10">
    <cfRule type="expression" dxfId="2" priority="8">
      <formula>AF11="No"</formula>
    </cfRule>
  </conditionalFormatting>
  <conditionalFormatting sqref="BA62:BU63">
    <cfRule type="expression" dxfId="2" priority="9">
      <formula>$AC$9&lt;3</formula>
    </cfRule>
  </conditionalFormatting>
  <conditionalFormatting sqref="BA64:BU65">
    <cfRule type="expression" dxfId="2" priority="10">
      <formula>$AC$9&lt;6</formula>
    </cfRule>
  </conditionalFormatting>
  <conditionalFormatting sqref="BA66:BU67">
    <cfRule type="expression" dxfId="2" priority="11">
      <formula>$AC$9&lt;9</formula>
    </cfRule>
  </conditionalFormatting>
  <conditionalFormatting sqref="BA68:BU69">
    <cfRule type="expression" dxfId="2" priority="12">
      <formula>$AC$9&lt;12</formula>
    </cfRule>
  </conditionalFormatting>
  <conditionalFormatting sqref="BA70:BU71">
    <cfRule type="expression" dxfId="2" priority="13">
      <formula>$AC$9&lt;15</formula>
    </cfRule>
  </conditionalFormatting>
  <conditionalFormatting sqref="BA72:BU73">
    <cfRule type="expression" dxfId="2" priority="14">
      <formula>$AC$9&lt;18</formula>
    </cfRule>
  </conditionalFormatting>
  <conditionalFormatting sqref="BE109:BU132">
    <cfRule type="expression" dxfId="2" priority="15">
      <formula>$AC$9&lt;AT109</formula>
    </cfRule>
  </conditionalFormatting>
  <conditionalFormatting sqref="BE148:BU151 BE155:BS157 BT155 BU155:BU157 BT157">
    <cfRule type="expression" dxfId="3" priority="16">
      <formula>$AF$11="No"</formula>
    </cfRule>
  </conditionalFormatting>
  <conditionalFormatting sqref="BE133:BU134">
    <cfRule type="expression" dxfId="2" priority="17">
      <formula>not(COUNTIF(BA58:BA76,"Open Lesser Binding"))</formula>
    </cfRule>
  </conditionalFormatting>
  <conditionalFormatting sqref="BE135:BU136">
    <cfRule type="expression" dxfId="2" priority="18">
      <formula>not(COUNTIF(BA58:BA76,"Open Greater Binding"))</formula>
    </cfRule>
  </conditionalFormatting>
  <conditionalFormatting sqref="BE152:BU154">
    <cfRule type="expression" dxfId="3" priority="19">
      <formula>$AF$11="No"</formula>
    </cfRule>
  </conditionalFormatting>
  <conditionalFormatting sqref="BL19:BN52">
    <cfRule type="cellIs" dxfId="2" priority="20" operator="equal">
      <formula>0</formula>
    </cfRule>
  </conditionalFormatting>
  <conditionalFormatting sqref="W19:Y35">
    <cfRule type="cellIs" dxfId="2" priority="21" operator="equal">
      <formula>0</formula>
    </cfRule>
  </conditionalFormatting>
  <conditionalFormatting sqref="AY7:AZ10">
    <cfRule type="cellIs" dxfId="2" priority="22" operator="equal">
      <formula>0</formula>
    </cfRule>
  </conditionalFormatting>
  <conditionalFormatting sqref="CJ54:CN55">
    <cfRule type="cellIs" dxfId="2" priority="23" operator="equal">
      <formula>"N/A"</formula>
    </cfRule>
  </conditionalFormatting>
  <conditionalFormatting sqref="CL58:CN59">
    <cfRule type="cellIs" dxfId="2" priority="24" operator="equal">
      <formula>0</formula>
    </cfRule>
  </conditionalFormatting>
  <conditionalFormatting sqref="CG60:CN61">
    <cfRule type="cellIs" dxfId="2" priority="25" operator="equal">
      <formula>"N/A"</formula>
    </cfRule>
  </conditionalFormatting>
  <conditionalFormatting sqref="BX60:CE61">
    <cfRule type="cellIs" dxfId="2" priority="26" operator="equal">
      <formula>"N/A"</formula>
    </cfRule>
  </conditionalFormatting>
  <conditionalFormatting sqref="CL56:CN57">
    <cfRule type="cellIs" dxfId="2" priority="27" operator="equal">
      <formula>1</formula>
    </cfRule>
  </conditionalFormatting>
  <conditionalFormatting sqref="BA148:BC149">
    <cfRule type="cellIs" dxfId="2" priority="28" operator="equal">
      <formula>0</formula>
    </cfRule>
  </conditionalFormatting>
  <dataValidations>
    <dataValidation type="decimal" allowBlank="1" showDropDown="1" showErrorMessage="1" sqref="AC9">
      <formula1>1.0</formula1>
      <formula2>20.0</formula2>
    </dataValidation>
    <dataValidation type="list" allowBlank="1" showErrorMessage="1" sqref="AF11 AS11">
      <formula1>"Yes,No"</formula1>
    </dataValidation>
    <dataValidation type="list" allowBlank="1" showErrorMessage="1" sqref="P153 AH153 AZ153 BR153">
      <formula1>"N/A,KOM,KDM,STR,DEX,CON,INT,WIS,CHA"</formula1>
    </dataValidation>
    <dataValidation type="list" allowBlank="1" showErrorMessage="1" sqref="BR19 BR21 BR23 BR25 BR27 BR29 BR32 BR34 BR36 BR38 BR40 BR42 BR45 BR47 BR49 BR51">
      <formula1>"No,Yes"</formula1>
    </dataValidation>
    <dataValidation type="list" allowBlank="1" showErrorMessage="1" sqref="Q11">
      <formula1>"Small,Average,Large,Huge"</formula1>
    </dataValidation>
    <dataValidation type="list" allowBlank="1" showErrorMessage="1" sqref="K70">
      <formula1>"Fort+Ref,Fort+Will,Ref+Will"</formula1>
    </dataValidation>
    <dataValidation type="list" allowBlank="1" showErrorMessage="1" sqref="K47">
      <formula1>"Good,Poor"</formula1>
    </dataValidation>
    <dataValidation type="list" allowBlank="1" showErrorMessage="1" sqref="K38 Z38 K42 P42 U42 Z42">
      <formula1>"STR,DEX,CON,INT,WIS,CHA"</formula1>
    </dataValidation>
  </dataValidations>
  <drawing r:id="rId1"/>
</worksheet>
</file>