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>
    <definedName name="AbilityScores">Sheet1!$C$19:$M$35</definedName>
  </definedNames>
  <calcPr/>
</workbook>
</file>

<file path=xl/sharedStrings.xml><?xml version="1.0" encoding="utf-8"?>
<sst xmlns="http://schemas.openxmlformats.org/spreadsheetml/2006/main" count="439" uniqueCount="183">
  <si>
    <t>Player</t>
  </si>
  <si>
    <t>Tracks</t>
  </si>
  <si>
    <t>Fast</t>
  </si>
  <si>
    <t>Name</t>
  </si>
  <si>
    <t>Medium</t>
  </si>
  <si>
    <t>Race</t>
  </si>
  <si>
    <t>Slow</t>
  </si>
  <si>
    <t>Class</t>
  </si>
  <si>
    <t>Level</t>
  </si>
  <si>
    <t>FBI</t>
  </si>
  <si>
    <t>Size</t>
  </si>
  <si>
    <t>Average</t>
  </si>
  <si>
    <t>Full Buy In</t>
  </si>
  <si>
    <t>No</t>
  </si>
  <si>
    <t>Size Penalties</t>
  </si>
  <si>
    <t>Yes</t>
  </si>
  <si>
    <t>Ability Scores</t>
  </si>
  <si>
    <t>Hit Points</t>
  </si>
  <si>
    <t>Skills</t>
  </si>
  <si>
    <t>Weapon Property Guide</t>
  </si>
  <si>
    <t>Score</t>
  </si>
  <si>
    <t>Mod</t>
  </si>
  <si>
    <t>Base</t>
  </si>
  <si>
    <t>Bonus</t>
  </si>
  <si>
    <t>Misc</t>
  </si>
  <si>
    <t>Max HP</t>
  </si>
  <si>
    <t>KDM</t>
  </si>
  <si>
    <t>Lvl+1</t>
  </si>
  <si>
    <t>Physical Skills</t>
  </si>
  <si>
    <t>Total</t>
  </si>
  <si>
    <t>Abil</t>
  </si>
  <si>
    <t>Ranks</t>
  </si>
  <si>
    <t>Trained</t>
  </si>
  <si>
    <t>Brutal 1</t>
  </si>
  <si>
    <t>Magnum</t>
  </si>
  <si>
    <t>STR</t>
  </si>
  <si>
    <t>X</t>
  </si>
  <si>
    <t>Acrobatics</t>
  </si>
  <si>
    <t>Dex</t>
  </si>
  <si>
    <t>Brutal 2</t>
  </si>
  <si>
    <t>Point-blank</t>
  </si>
  <si>
    <t>Misc/Lvl</t>
  </si>
  <si>
    <t>Lvl</t>
  </si>
  <si>
    <t>Athletics</t>
  </si>
  <si>
    <t>Str</t>
  </si>
  <si>
    <t>DEX</t>
  </si>
  <si>
    <t>Brutal 3</t>
  </si>
  <si>
    <t>Larceny</t>
  </si>
  <si>
    <t>CON</t>
  </si>
  <si>
    <t>Stealth</t>
  </si>
  <si>
    <t>Range, Speed, Vision</t>
  </si>
  <si>
    <t>Spells per Scene</t>
  </si>
  <si>
    <t>Ride</t>
  </si>
  <si>
    <t>INT</t>
  </si>
  <si>
    <t>Track</t>
  </si>
  <si>
    <t>Circle</t>
  </si>
  <si>
    <t>Casting Ability</t>
  </si>
  <si>
    <t>Vigor</t>
  </si>
  <si>
    <t>Con</t>
  </si>
  <si>
    <t>N/A</t>
  </si>
  <si>
    <t>Speed</t>
  </si>
  <si>
    <t>WIS</t>
  </si>
  <si>
    <t>Knowledge Skills</t>
  </si>
  <si>
    <t>Arcana</t>
  </si>
  <si>
    <t>Int</t>
  </si>
  <si>
    <t>CHA</t>
  </si>
  <si>
    <t>Engineering</t>
  </si>
  <si>
    <t>Total 1</t>
  </si>
  <si>
    <t>Abil 1</t>
  </si>
  <si>
    <t>Total 2</t>
  </si>
  <si>
    <t>Abil 2</t>
  </si>
  <si>
    <t>Range</t>
  </si>
  <si>
    <t>Distance</t>
  </si>
  <si>
    <t>Melee</t>
  </si>
  <si>
    <t>Geography</t>
  </si>
  <si>
    <t>Ability</t>
  </si>
  <si>
    <t>KOM</t>
  </si>
  <si>
    <t>Close</t>
  </si>
  <si>
    <t>Movement</t>
  </si>
  <si>
    <t>History</t>
  </si>
  <si>
    <t>Modes</t>
  </si>
  <si>
    <t>Medicine</t>
  </si>
  <si>
    <t>1st</t>
  </si>
  <si>
    <t>2nd</t>
  </si>
  <si>
    <t>3rd</t>
  </si>
  <si>
    <t>4th</t>
  </si>
  <si>
    <t>Ability Bonus</t>
  </si>
  <si>
    <t>Long</t>
  </si>
  <si>
    <t>Nature</t>
  </si>
  <si>
    <t>Extreme</t>
  </si>
  <si>
    <t>Interaction Skills</t>
  </si>
  <si>
    <t>Bluff</t>
  </si>
  <si>
    <t>Cha</t>
  </si>
  <si>
    <t>BAB</t>
  </si>
  <si>
    <t>Good</t>
  </si>
  <si>
    <t>Vision Mode</t>
  </si>
  <si>
    <t>Diplomacy</t>
  </si>
  <si>
    <t>Intimidate</t>
  </si>
  <si>
    <t>Defenses and DCs</t>
  </si>
  <si>
    <t>Perception</t>
  </si>
  <si>
    <t>Wis</t>
  </si>
  <si>
    <t>Scaling Skill Bonuses</t>
  </si>
  <si>
    <t>Level/2</t>
  </si>
  <si>
    <t>Str/Dex</t>
  </si>
  <si>
    <t>Environmental Immunity</t>
  </si>
  <si>
    <t>Maneuver DC</t>
  </si>
  <si>
    <t>Feats</t>
  </si>
  <si>
    <t>Breath Rounds</t>
  </si>
  <si>
    <t>Vacuum</t>
  </si>
  <si>
    <t>Initiative</t>
  </si>
  <si>
    <t>Awareness</t>
  </si>
  <si>
    <t>Notes</t>
  </si>
  <si>
    <t>Racial</t>
  </si>
  <si>
    <t>Save Bonus vs. Dismount</t>
  </si>
  <si>
    <t>Str/Con</t>
  </si>
  <si>
    <t>Fort</t>
  </si>
  <si>
    <t>Dex/Int</t>
  </si>
  <si>
    <t>Ref</t>
  </si>
  <si>
    <t>6th</t>
  </si>
  <si>
    <t>Wis/Cha</t>
  </si>
  <si>
    <t>9th</t>
  </si>
  <si>
    <t>Will</t>
  </si>
  <si>
    <t>12th</t>
  </si>
  <si>
    <t>Good Saves</t>
  </si>
  <si>
    <t>Fort+Will</t>
  </si>
  <si>
    <t>15th</t>
  </si>
  <si>
    <t>18th</t>
  </si>
  <si>
    <t>DR</t>
  </si>
  <si>
    <t>Item</t>
  </si>
  <si>
    <t>Deflect</t>
  </si>
  <si>
    <t>AC</t>
  </si>
  <si>
    <t>Weapon Attacks</t>
  </si>
  <si>
    <t>Mundane Items, Consumables, and Tokens</t>
  </si>
  <si>
    <t>Iterative</t>
  </si>
  <si>
    <t>Str/2</t>
  </si>
  <si>
    <t>Attack</t>
  </si>
  <si>
    <t>Damage</t>
  </si>
  <si>
    <t>Usable Consumables</t>
  </si>
  <si>
    <t>Weapon 1</t>
  </si>
  <si>
    <t>Dice</t>
  </si>
  <si>
    <t>Prop</t>
  </si>
  <si>
    <t>1d6</t>
  </si>
  <si>
    <t>Properties</t>
  </si>
  <si>
    <t>Weapon 2</t>
  </si>
  <si>
    <t>Magic Items</t>
  </si>
  <si>
    <t>Weapon 3</t>
  </si>
  <si>
    <t>Slot</t>
  </si>
  <si>
    <t>Magic Item</t>
  </si>
  <si>
    <t>Lesser 1</t>
  </si>
  <si>
    <t>Lesser 2</t>
  </si>
  <si>
    <t>Lesser 3</t>
  </si>
  <si>
    <t>Lesser 4</t>
  </si>
  <si>
    <t>Lesser 5</t>
  </si>
  <si>
    <t>Weapon 4</t>
  </si>
  <si>
    <t>Greater 1</t>
  </si>
  <si>
    <t>Greater 2</t>
  </si>
  <si>
    <t>Greater 3</t>
  </si>
  <si>
    <t>Greater 4</t>
  </si>
  <si>
    <t>Relic 1</t>
  </si>
  <si>
    <t>Weapon 5</t>
  </si>
  <si>
    <t>Relic 2</t>
  </si>
  <si>
    <t>Artifact</t>
  </si>
  <si>
    <t>Feat</t>
  </si>
  <si>
    <t>Lesser Binding</t>
  </si>
  <si>
    <t>Greater Binding</t>
  </si>
  <si>
    <t>Other 1</t>
  </si>
  <si>
    <t>Armor Abilities</t>
  </si>
  <si>
    <t>Other 2</t>
  </si>
  <si>
    <t>Shield Abilities</t>
  </si>
  <si>
    <t>Other 3</t>
  </si>
  <si>
    <t>Track Progression</t>
  </si>
  <si>
    <t>Fast Track</t>
  </si>
  <si>
    <t>Medium Tack</t>
  </si>
  <si>
    <t>Slow Track</t>
  </si>
  <si>
    <t>Medium Track (FBI)</t>
  </si>
  <si>
    <t>DC</t>
  </si>
  <si>
    <t>1st Circle Ability</t>
  </si>
  <si>
    <t>2nd Circle Ability</t>
  </si>
  <si>
    <t>3rd Circle Ability</t>
  </si>
  <si>
    <t>4th Circle Ability</t>
  </si>
  <si>
    <t>5th Circle Ability</t>
  </si>
  <si>
    <t>6th Circle Ability</t>
  </si>
  <si>
    <t>7th Circle Ability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</si>
</sst>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sz val="12.0"/>
    </font>
    <font>
      <sz val="14.0"/>
      <color rgb="FFFFFFFF"/>
    </font>
    <font/>
    <font>
      <b/>
      <sz val="12.0"/>
    </font>
    <font>
      <sz val="7.0"/>
      <color rgb="FFFFFFFF"/>
    </font>
    <font>
      <sz val="7.0"/>
    </font>
    <font>
      <sz val="8.0"/>
    </font>
    <font>
      <b/>
      <sz val="12.0"/>
      <name val="Arial"/>
    </font>
    <font>
      <sz val="12.0"/>
      <name val="Arial"/>
    </font>
    <font>
      <name val="Arial"/>
    </font>
    <font>
      <sz val="6.0"/>
      <color rgb="FFD9D9D9"/>
    </font>
    <font>
      <sz val="7.0"/>
      <color rgb="FF000000"/>
    </font>
    <font>
      <sz val="14.0"/>
      <color rgb="FFFFFFFF"/>
      <name val="Arial"/>
    </font>
    <font>
      <sz val="7.0"/>
      <name val="Arial"/>
    </font>
    <font>
      <sz val="10.0"/>
    </font>
    <font>
      <sz val="10.0"/>
      <color rgb="FFFFFFFF"/>
    </font>
    <font>
      <b/>
      <sz val="14.0"/>
      <color rgb="FF000000"/>
    </font>
    <font>
      <sz val="14.0"/>
      <color rgb="FF000000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999999"/>
        <bgColor rgb="FF999999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2" fontId="2" numFmtId="0" xfId="0" applyAlignment="1" applyFont="1">
      <alignment horizontal="center" readingOrder="0" vertical="center"/>
    </xf>
    <xf borderId="0" fillId="3" fontId="1" numFmtId="0" xfId="0" applyAlignment="1" applyFill="1" applyFont="1">
      <alignment horizontal="center" vertical="center"/>
    </xf>
    <xf borderId="1" fillId="4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1" fillId="3" fontId="1" numFmtId="0" xfId="0" applyAlignment="1" applyBorder="1" applyFont="1">
      <alignment horizontal="left" readingOrder="0" vertical="center"/>
    </xf>
    <xf borderId="0" fillId="4" fontId="2" numFmtId="0" xfId="0" applyAlignment="1" applyFont="1">
      <alignment horizontal="center" readingOrder="0" vertical="center"/>
    </xf>
    <xf borderId="1" fillId="5" fontId="4" numFmtId="0" xfId="0" applyAlignment="1" applyBorder="1" applyFill="1" applyFont="1">
      <alignment horizontal="center" vertical="center"/>
    </xf>
    <xf borderId="1" fillId="4" fontId="5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1" fillId="3" fontId="1" numFmtId="0" xfId="0" applyAlignment="1" applyBorder="1" applyFont="1">
      <alignment horizontal="center" readingOrder="0" vertical="center"/>
    </xf>
    <xf borderId="0" fillId="2" fontId="6" numFmtId="0" xfId="0" applyAlignment="1" applyFont="1">
      <alignment horizontal="center" vertical="center"/>
    </xf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vertical="center"/>
    </xf>
    <xf borderId="0" fillId="2" fontId="1" numFmtId="0" xfId="0" applyAlignment="1" applyFont="1">
      <alignment horizontal="center" readingOrder="0" vertical="center"/>
    </xf>
    <xf borderId="0" fillId="2" fontId="4" numFmtId="0" xfId="0" applyAlignment="1" applyFont="1">
      <alignment horizontal="center" vertical="center"/>
    </xf>
    <xf borderId="0" fillId="2" fontId="7" numFmtId="0" xfId="0" applyAlignment="1" applyFont="1">
      <alignment horizontal="center" readingOrder="0" vertical="center"/>
    </xf>
    <xf borderId="1" fillId="5" fontId="8" numFmtId="0" xfId="0" applyAlignment="1" applyBorder="1" applyFont="1">
      <alignment horizontal="center" vertical="center"/>
    </xf>
    <xf borderId="2" fillId="6" fontId="8" numFmtId="0" xfId="0" applyAlignment="1" applyBorder="1" applyFill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7" fillId="2" fontId="9" numFmtId="0" xfId="0" applyAlignment="1" applyBorder="1" applyFon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6" fontId="4" numFmtId="0" xfId="0" applyAlignment="1" applyBorder="1" applyFont="1">
      <alignment horizontal="center" vertical="center"/>
    </xf>
    <xf borderId="0" fillId="2" fontId="4" numFmtId="0" xfId="0" applyAlignment="1" applyFont="1">
      <alignment horizontal="center" readingOrder="0" vertical="center"/>
    </xf>
    <xf borderId="0" fillId="2" fontId="2" numFmtId="0" xfId="0" applyAlignment="1" applyFont="1">
      <alignment horizontal="center" vertical="center"/>
    </xf>
    <xf borderId="5" fillId="2" fontId="10" numFmtId="0" xfId="0" applyAlignment="1" applyBorder="1" applyFont="1">
      <alignment horizontal="center" vertical="center"/>
    </xf>
    <xf borderId="5" fillId="2" fontId="9" numFmtId="0" xfId="0" applyAlignment="1" applyBorder="1" applyFont="1">
      <alignment horizontal="center" vertical="center"/>
    </xf>
    <xf borderId="0" fillId="2" fontId="9" numFmtId="0" xfId="0" applyAlignment="1" applyFont="1">
      <alignment horizontal="center" vertical="center"/>
    </xf>
    <xf borderId="5" fillId="2" fontId="8" numFmtId="0" xfId="0" applyAlignment="1" applyBorder="1" applyFont="1">
      <alignment horizontal="center" vertical="center"/>
    </xf>
    <xf borderId="8" fillId="3" fontId="9" numFmtId="0" xfId="0" applyAlignment="1" applyBorder="1" applyFont="1">
      <alignment horizontal="center" readingOrder="0" vertical="center"/>
    </xf>
    <xf borderId="7" fillId="0" fontId="3" numFmtId="0" xfId="0" applyBorder="1" applyFont="1"/>
    <xf borderId="8" fillId="5" fontId="8" numFmtId="0" xfId="0" applyAlignment="1" applyBorder="1" applyFont="1">
      <alignment horizontal="center" readingOrder="0" vertical="center"/>
    </xf>
    <xf borderId="8" fillId="5" fontId="8" numFmtId="0" xfId="0" applyAlignment="1" applyBorder="1" applyFont="1">
      <alignment horizontal="center" vertical="center"/>
    </xf>
    <xf borderId="8" fillId="3" fontId="9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readingOrder="0" vertical="center"/>
    </xf>
    <xf borderId="1" fillId="5" fontId="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 vertical="center"/>
    </xf>
    <xf borderId="0" fillId="2" fontId="11" numFmtId="0" xfId="0" applyAlignment="1" applyFont="1">
      <alignment horizontal="center" vertical="center"/>
    </xf>
    <xf borderId="0" fillId="2" fontId="9" numFmtId="0" xfId="0" applyAlignment="1" applyFont="1">
      <alignment horizontal="center" vertical="center"/>
    </xf>
    <xf borderId="0" fillId="2" fontId="9" numFmtId="0" xfId="0" applyAlignment="1" applyFont="1">
      <alignment horizontal="center" readingOrder="0" vertical="center"/>
    </xf>
    <xf borderId="0" fillId="2" fontId="12" numFmtId="0" xfId="0" applyAlignment="1" applyFont="1">
      <alignment horizontal="center" readingOrder="0" vertical="center"/>
    </xf>
    <xf borderId="1" fillId="6" fontId="8" numFmtId="0" xfId="0" applyAlignment="1" applyBorder="1" applyFont="1">
      <alignment horizontal="center" vertical="center"/>
    </xf>
    <xf borderId="2" fillId="3" fontId="8" numFmtId="0" xfId="0" applyAlignment="1" applyBorder="1" applyFont="1">
      <alignment horizontal="center" readingOrder="0" vertical="center"/>
    </xf>
    <xf borderId="0" fillId="2" fontId="3" numFmtId="0" xfId="0" applyAlignment="1" applyFont="1">
      <alignment horizontal="center" vertical="center"/>
    </xf>
    <xf borderId="1" fillId="3" fontId="1" numFmtId="0" xfId="0" applyAlignment="1" applyBorder="1" applyFont="1">
      <alignment horizontal="center" vertical="center"/>
    </xf>
    <xf borderId="1" fillId="5" fontId="4" numFmtId="0" xfId="0" applyAlignment="1" applyBorder="1" applyFont="1">
      <alignment horizontal="center" readingOrder="0" vertical="center"/>
    </xf>
    <xf borderId="1" fillId="4" fontId="13" numFmtId="0" xfId="0" applyAlignment="1" applyBorder="1" applyFont="1">
      <alignment horizontal="center" readingOrder="0" vertical="center"/>
    </xf>
    <xf borderId="0" fillId="2" fontId="3" numFmtId="0" xfId="0" applyAlignment="1" applyFont="1">
      <alignment vertical="center"/>
    </xf>
    <xf borderId="0" fillId="2" fontId="1" numFmtId="0" xfId="0" applyAlignment="1" applyFont="1">
      <alignment horizontal="center" readingOrder="0" shrinkToFit="0" vertical="center" wrapText="1"/>
    </xf>
    <xf borderId="1" fillId="5" fontId="4" numFmtId="0" xfId="0" applyAlignment="1" applyBorder="1" applyFont="1">
      <alignment horizontal="center" readingOrder="0" shrinkToFit="0" vertical="center" wrapText="1"/>
    </xf>
    <xf borderId="5" fillId="2" fontId="14" numFmtId="0" xfId="0" applyAlignment="1" applyBorder="1" applyFont="1">
      <alignment horizontal="center" vertical="center"/>
    </xf>
    <xf borderId="5" fillId="2" fontId="14" numFmtId="0" xfId="0" applyAlignment="1" applyBorder="1" applyFont="1">
      <alignment horizontal="center" vertical="center"/>
    </xf>
    <xf borderId="8" fillId="6" fontId="8" numFmtId="0" xfId="0" applyAlignment="1" applyBorder="1" applyFont="1">
      <alignment horizontal="center" vertical="center"/>
    </xf>
    <xf borderId="0" fillId="5" fontId="8" numFmtId="0" xfId="0" applyAlignment="1" applyFont="1">
      <alignment horizontal="center" vertical="center"/>
    </xf>
    <xf borderId="1" fillId="4" fontId="13" numFmtId="0" xfId="0" applyAlignment="1" applyBorder="1" applyFont="1">
      <alignment horizontal="center" vertical="center"/>
    </xf>
    <xf borderId="0" fillId="2" fontId="4" numFmtId="0" xfId="0" applyAlignment="1" applyFon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0" fillId="2" fontId="14" numFmtId="0" xfId="0" applyAlignment="1" applyFont="1">
      <alignment horizontal="center" vertical="center"/>
    </xf>
    <xf borderId="0" fillId="2" fontId="14" numFmtId="0" xfId="0" applyAlignment="1" applyFont="1">
      <alignment horizontal="center" readingOrder="0" vertical="center"/>
    </xf>
    <xf borderId="0" fillId="2" fontId="14" numFmtId="0" xfId="0" applyAlignment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7" fontId="4" numFmtId="0" xfId="0" applyAlignment="1" applyBorder="1" applyFill="1" applyFont="1">
      <alignment horizontal="center" vertical="center"/>
    </xf>
    <xf borderId="8" fillId="5" fontId="8" numFmtId="0" xfId="0" applyAlignment="1" applyBorder="1" applyFont="1">
      <alignment horizontal="center" shrinkToFit="0" vertical="center" wrapText="1"/>
    </xf>
    <xf borderId="2" fillId="4" fontId="13" numFmtId="0" xfId="0" applyAlignment="1" applyBorder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5" fillId="2" fontId="10" numFmtId="0" xfId="0" applyBorder="1" applyFont="1"/>
    <xf borderId="5" fillId="2" fontId="10" numFmtId="0" xfId="0" applyBorder="1" applyFont="1"/>
    <xf borderId="0" fillId="2" fontId="10" numFmtId="0" xfId="0" applyFont="1"/>
    <xf borderId="0" fillId="4" fontId="2" numFmtId="0" xfId="0" applyAlignment="1" applyFont="1">
      <alignment horizontal="center" vertical="center"/>
    </xf>
    <xf borderId="0" fillId="2" fontId="10" numFmtId="0" xfId="0" applyFont="1"/>
    <xf borderId="0" fillId="4" fontId="16" numFmtId="0" xfId="0" applyAlignment="1" applyFont="1">
      <alignment horizontal="center" readingOrder="0" vertical="center"/>
    </xf>
    <xf borderId="1" fillId="5" fontId="17" numFmtId="0" xfId="0" applyAlignment="1" applyBorder="1" applyFont="1">
      <alignment horizontal="center" readingOrder="0" vertical="center"/>
    </xf>
    <xf borderId="1" fillId="6" fontId="17" numFmtId="0" xfId="0" applyAlignment="1" applyBorder="1" applyFont="1">
      <alignment horizontal="center" readingOrder="0" vertical="center"/>
    </xf>
    <xf borderId="1" fillId="3" fontId="18" numFmtId="0" xfId="0" applyAlignment="1" applyBorder="1" applyFont="1">
      <alignment horizontal="center" readingOrder="0" vertical="center"/>
    </xf>
    <xf borderId="1" fillId="3" fontId="1" numFmtId="0" xfId="0" applyAlignment="1" applyBorder="1" applyFont="1">
      <alignment horizontal="center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2" fontId="10" numFmtId="0" xfId="0" applyAlignment="1" applyFont="1">
      <alignment vertical="center"/>
    </xf>
    <xf borderId="7" fillId="2" fontId="10" numFmtId="0" xfId="0" applyAlignment="1" applyBorder="1" applyFont="1">
      <alignment vertical="center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999999"/>
          <bgColor rgb="FF999999"/>
        </patternFill>
      </fill>
      <border/>
    </dxf>
    <dxf>
      <font>
        <color rgb="FF000000"/>
      </font>
      <fill>
        <patternFill patternType="solid">
          <fgColor rgb="FF000000"/>
          <bgColor rgb="FF000000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94" width="2.29"/>
  </cols>
  <sheetData>
    <row r="1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1"/>
    </row>
    <row r="3" ht="11.25" customHeight="1">
      <c r="A3" s="1"/>
      <c r="B3" s="1"/>
      <c r="C3" s="3" t="str">
        <f>IMAGE("http://i.imgur.com/MYN6v0q.png")</f>
        <v/>
      </c>
      <c r="L3" s="1"/>
      <c r="M3" s="4" t="s">
        <v>0</v>
      </c>
      <c r="N3" s="5"/>
      <c r="O3" s="5"/>
      <c r="P3" s="6"/>
      <c r="Q3" s="7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6"/>
      <c r="AF3" s="8" t="s">
        <v>1</v>
      </c>
      <c r="AJ3" s="7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6"/>
      <c r="AY3" s="9">
        <f>1+floor($AC$9/3)</f>
        <v>1</v>
      </c>
      <c r="AZ3" s="6"/>
      <c r="BA3" s="10" t="s">
        <v>2</v>
      </c>
      <c r="BB3" s="5"/>
      <c r="BC3" s="6"/>
      <c r="BD3" s="1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1"/>
    </row>
    <row r="4" ht="11.25" customHeight="1">
      <c r="A4" s="1"/>
      <c r="B4" s="1"/>
      <c r="L4" s="1"/>
      <c r="M4" s="11"/>
      <c r="N4" s="12"/>
      <c r="O4" s="12"/>
      <c r="P4" s="13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3"/>
      <c r="AJ4" s="11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3"/>
      <c r="AY4" s="11"/>
      <c r="AZ4" s="13"/>
      <c r="BA4" s="11"/>
      <c r="BB4" s="12"/>
      <c r="BC4" s="13"/>
      <c r="BD4" s="1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1"/>
    </row>
    <row r="5" ht="11.25" customHeight="1">
      <c r="A5" s="1"/>
      <c r="B5" s="1"/>
      <c r="L5" s="1"/>
      <c r="M5" s="4" t="s">
        <v>3</v>
      </c>
      <c r="N5" s="5"/>
      <c r="O5" s="5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6"/>
      <c r="AJ5" s="7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6"/>
      <c r="AY5" s="9">
        <f>1+floor(($AC$9-1)/3)</f>
        <v>1</v>
      </c>
      <c r="AZ5" s="6"/>
      <c r="BA5" s="10" t="s">
        <v>4</v>
      </c>
      <c r="BB5" s="5"/>
      <c r="BC5" s="6"/>
      <c r="BD5" s="1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1"/>
    </row>
    <row r="6" ht="11.25" customHeight="1">
      <c r="A6" s="1"/>
      <c r="B6" s="1"/>
      <c r="L6" s="1"/>
      <c r="M6" s="11"/>
      <c r="N6" s="12"/>
      <c r="O6" s="12"/>
      <c r="P6" s="13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  <c r="AJ6" s="11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3"/>
      <c r="AY6" s="11"/>
      <c r="AZ6" s="13"/>
      <c r="BA6" s="11"/>
      <c r="BB6" s="12"/>
      <c r="BC6" s="13"/>
      <c r="BD6" s="1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1"/>
    </row>
    <row r="7" ht="11.25" customHeight="1">
      <c r="A7" s="1"/>
      <c r="B7" s="1"/>
      <c r="L7" s="1"/>
      <c r="M7" s="4" t="s">
        <v>5</v>
      </c>
      <c r="N7" s="5"/>
      <c r="O7" s="5"/>
      <c r="P7" s="6"/>
      <c r="Q7" s="7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6"/>
      <c r="AJ7" s="7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6"/>
      <c r="AY7" s="9">
        <f>floor(($AC$9+1)/3)</f>
        <v>0</v>
      </c>
      <c r="AZ7" s="6"/>
      <c r="BA7" s="10" t="s">
        <v>6</v>
      </c>
      <c r="BB7" s="5"/>
      <c r="BC7" s="6"/>
      <c r="BD7" s="1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1"/>
    </row>
    <row r="8" ht="11.25" customHeight="1">
      <c r="A8" s="1"/>
      <c r="B8" s="1"/>
      <c r="L8" s="1"/>
      <c r="M8" s="11"/>
      <c r="N8" s="12"/>
      <c r="O8" s="12"/>
      <c r="P8" s="13"/>
      <c r="Q8" s="11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3"/>
      <c r="AJ8" s="11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3"/>
      <c r="AY8" s="11"/>
      <c r="AZ8" s="13"/>
      <c r="BA8" s="11"/>
      <c r="BB8" s="12"/>
      <c r="BC8" s="13"/>
      <c r="BD8" s="1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1"/>
    </row>
    <row r="9" ht="11.25" customHeight="1">
      <c r="A9" s="1"/>
      <c r="B9" s="1"/>
      <c r="L9" s="1"/>
      <c r="M9" s="4" t="s">
        <v>7</v>
      </c>
      <c r="N9" s="5"/>
      <c r="O9" s="5"/>
      <c r="P9" s="6"/>
      <c r="Q9" s="7"/>
      <c r="R9" s="5"/>
      <c r="S9" s="5"/>
      <c r="T9" s="5"/>
      <c r="U9" s="5"/>
      <c r="V9" s="5"/>
      <c r="W9" s="5"/>
      <c r="X9" s="6"/>
      <c r="Y9" s="8" t="s">
        <v>8</v>
      </c>
      <c r="AC9" s="14">
        <v>1.0</v>
      </c>
      <c r="AD9" s="5"/>
      <c r="AE9" s="6"/>
      <c r="AJ9" s="7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6"/>
      <c r="AY9" s="9">
        <f>if(AF11="Yes",1+floor(($AC$9-1)/3),0)</f>
        <v>0</v>
      </c>
      <c r="AZ9" s="6"/>
      <c r="BA9" s="10" t="s">
        <v>9</v>
      </c>
      <c r="BB9" s="5"/>
      <c r="BC9" s="6"/>
      <c r="BD9" s="1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1"/>
    </row>
    <row r="10" ht="11.25" customHeight="1">
      <c r="A10" s="1"/>
      <c r="B10" s="1"/>
      <c r="L10" s="1"/>
      <c r="M10" s="11"/>
      <c r="N10" s="12"/>
      <c r="O10" s="12"/>
      <c r="P10" s="13"/>
      <c r="Q10" s="11"/>
      <c r="R10" s="12"/>
      <c r="S10" s="12"/>
      <c r="T10" s="12"/>
      <c r="U10" s="12"/>
      <c r="V10" s="12"/>
      <c r="W10" s="12"/>
      <c r="X10" s="13"/>
      <c r="AC10" s="11"/>
      <c r="AD10" s="12"/>
      <c r="AE10" s="13"/>
      <c r="AJ10" s="11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3"/>
      <c r="AY10" s="11"/>
      <c r="AZ10" s="13"/>
      <c r="BA10" s="11"/>
      <c r="BB10" s="12"/>
      <c r="BC10" s="13"/>
      <c r="BD10" s="1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1"/>
    </row>
    <row r="11" ht="11.25" customHeight="1">
      <c r="A11" s="1"/>
      <c r="B11" s="1"/>
      <c r="L11" s="1"/>
      <c r="M11" s="4" t="s">
        <v>10</v>
      </c>
      <c r="N11" s="5"/>
      <c r="O11" s="5"/>
      <c r="P11" s="6"/>
      <c r="Q11" s="14" t="s">
        <v>11</v>
      </c>
      <c r="R11" s="5"/>
      <c r="S11" s="5"/>
      <c r="T11" s="5"/>
      <c r="U11" s="5"/>
      <c r="V11" s="5"/>
      <c r="W11" s="5"/>
      <c r="X11" s="6"/>
      <c r="Y11" s="4" t="s">
        <v>12</v>
      </c>
      <c r="Z11" s="5"/>
      <c r="AA11" s="5"/>
      <c r="AB11" s="5"/>
      <c r="AC11" s="5"/>
      <c r="AD11" s="5"/>
      <c r="AE11" s="6"/>
      <c r="AF11" s="14" t="s">
        <v>13</v>
      </c>
      <c r="AG11" s="5"/>
      <c r="AH11" s="5"/>
      <c r="AI11" s="6"/>
      <c r="AJ11" s="4" t="s">
        <v>14</v>
      </c>
      <c r="AK11" s="5"/>
      <c r="AL11" s="5"/>
      <c r="AM11" s="5"/>
      <c r="AN11" s="5"/>
      <c r="AO11" s="5"/>
      <c r="AP11" s="5"/>
      <c r="AQ11" s="5"/>
      <c r="AR11" s="6"/>
      <c r="AS11" s="14" t="s">
        <v>15</v>
      </c>
      <c r="AT11" s="5"/>
      <c r="AU11" s="5"/>
      <c r="AV11" s="6"/>
      <c r="AW11" s="1"/>
      <c r="AX11" s="1"/>
      <c r="AY11" s="1"/>
      <c r="AZ11" s="1"/>
      <c r="BA11" s="1"/>
      <c r="BB11" s="1"/>
      <c r="BC11" s="1"/>
      <c r="BD11" s="1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1"/>
    </row>
    <row r="12" ht="11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1"/>
      <c r="N12" s="12"/>
      <c r="O12" s="12"/>
      <c r="P12" s="13"/>
      <c r="Q12" s="11"/>
      <c r="R12" s="12"/>
      <c r="S12" s="12"/>
      <c r="T12" s="12"/>
      <c r="U12" s="12"/>
      <c r="V12" s="12"/>
      <c r="W12" s="12"/>
      <c r="X12" s="13"/>
      <c r="Y12" s="11"/>
      <c r="Z12" s="12"/>
      <c r="AA12" s="12"/>
      <c r="AB12" s="12"/>
      <c r="AC12" s="12"/>
      <c r="AD12" s="12"/>
      <c r="AE12" s="13"/>
      <c r="AF12" s="11"/>
      <c r="AG12" s="12"/>
      <c r="AH12" s="12"/>
      <c r="AI12" s="13"/>
      <c r="AJ12" s="11"/>
      <c r="AK12" s="12"/>
      <c r="AL12" s="12"/>
      <c r="AM12" s="12"/>
      <c r="AN12" s="12"/>
      <c r="AO12" s="12"/>
      <c r="AP12" s="12"/>
      <c r="AQ12" s="12"/>
      <c r="AR12" s="13"/>
      <c r="AS12" s="11"/>
      <c r="AT12" s="12"/>
      <c r="AU12" s="12"/>
      <c r="AV12" s="13"/>
      <c r="AW12" s="1"/>
      <c r="AX12" s="1"/>
      <c r="AY12" s="1"/>
      <c r="AZ12" s="1"/>
      <c r="BA12" s="1"/>
      <c r="BB12" s="1"/>
      <c r="BC12" s="1"/>
      <c r="BD12" s="1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1"/>
    </row>
    <row r="13" ht="11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</row>
    <row r="14" ht="11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</row>
    <row r="15" ht="11.25" customHeight="1">
      <c r="A15" s="1"/>
      <c r="B15" s="1"/>
      <c r="C15" s="8" t="s">
        <v>16</v>
      </c>
      <c r="AD15" s="1"/>
      <c r="AE15" s="1"/>
      <c r="AF15" s="8" t="s">
        <v>17</v>
      </c>
      <c r="AU15" s="1"/>
      <c r="AV15" s="1"/>
      <c r="AW15" s="8" t="s">
        <v>18</v>
      </c>
      <c r="BV15" s="1"/>
      <c r="BW15" s="1"/>
      <c r="BX15" s="8" t="s">
        <v>19</v>
      </c>
      <c r="CO15" s="2"/>
      <c r="CP15" s="2"/>
    </row>
    <row r="16" ht="11.25" customHeight="1">
      <c r="A16" s="1"/>
      <c r="B16" s="1"/>
      <c r="AD16" s="1"/>
      <c r="AE16" s="1"/>
      <c r="AU16" s="1"/>
      <c r="AV16" s="1"/>
      <c r="BV16" s="1"/>
      <c r="BW16" s="1"/>
      <c r="CO16" s="2"/>
      <c r="CP16" s="2"/>
    </row>
    <row r="17" ht="11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</row>
    <row r="18" ht="11.25" customHeight="1">
      <c r="A18" s="1"/>
      <c r="B18" s="1"/>
      <c r="C18" s="15"/>
      <c r="D18" s="15"/>
      <c r="E18" s="15"/>
      <c r="F18" s="15"/>
      <c r="G18" s="15"/>
      <c r="H18" s="16" t="s">
        <v>20</v>
      </c>
      <c r="K18" s="16" t="s">
        <v>21</v>
      </c>
      <c r="N18" s="15"/>
      <c r="O18" s="16" t="s">
        <v>22</v>
      </c>
      <c r="R18" s="15"/>
      <c r="S18" s="16" t="s">
        <v>5</v>
      </c>
      <c r="V18" s="15"/>
      <c r="W18" s="16" t="s">
        <v>23</v>
      </c>
      <c r="Z18" s="15"/>
      <c r="AA18" s="16" t="s">
        <v>24</v>
      </c>
      <c r="AD18" s="15"/>
      <c r="AE18" s="15"/>
      <c r="AF18" s="16" t="s">
        <v>25</v>
      </c>
      <c r="AJ18" s="16" t="s">
        <v>7</v>
      </c>
      <c r="AM18" s="16" t="s">
        <v>26</v>
      </c>
      <c r="AP18" s="15"/>
      <c r="AQ18" s="15"/>
      <c r="AR18" s="16" t="s">
        <v>27</v>
      </c>
      <c r="AU18" s="16"/>
      <c r="AV18" s="16"/>
      <c r="AW18" s="16" t="s">
        <v>28</v>
      </c>
      <c r="BD18" s="15"/>
      <c r="BE18" s="15"/>
      <c r="BF18" s="16" t="s">
        <v>29</v>
      </c>
      <c r="BI18" s="16" t="s">
        <v>30</v>
      </c>
      <c r="BL18" s="16" t="s">
        <v>31</v>
      </c>
      <c r="BO18" s="16" t="s">
        <v>24</v>
      </c>
      <c r="BR18" s="16" t="s">
        <v>32</v>
      </c>
      <c r="BV18" s="17"/>
      <c r="BW18" s="17"/>
      <c r="BX18" s="18" t="s">
        <v>33</v>
      </c>
      <c r="CC18" s="9">
        <f>1+floor($AC$9/6)</f>
        <v>1</v>
      </c>
      <c r="CD18" s="5"/>
      <c r="CE18" s="6"/>
      <c r="CF18" s="19"/>
      <c r="CG18" s="18" t="s">
        <v>34</v>
      </c>
      <c r="CL18" s="9">
        <f>2+floor($AC$9/4)</f>
        <v>2</v>
      </c>
      <c r="CM18" s="5"/>
      <c r="CN18" s="6"/>
      <c r="CO18" s="20"/>
      <c r="CP18" s="20"/>
    </row>
    <row r="19" ht="11.25" customHeight="1">
      <c r="A19" s="1"/>
      <c r="B19" s="1"/>
      <c r="C19" s="8" t="s">
        <v>35</v>
      </c>
      <c r="H19" s="21">
        <f>FLOOR(SUM(O19,S19,W19,AA19))</f>
        <v>10</v>
      </c>
      <c r="I19" s="5"/>
      <c r="J19" s="6"/>
      <c r="K19" s="22">
        <f>FLOOR((H19-10)/2)</f>
        <v>0</v>
      </c>
      <c r="L19" s="5"/>
      <c r="M19" s="6"/>
      <c r="N19" s="1"/>
      <c r="O19" s="23">
        <v>10.0</v>
      </c>
      <c r="P19" s="5"/>
      <c r="Q19" s="6"/>
      <c r="R19" s="24"/>
      <c r="S19" s="23"/>
      <c r="T19" s="5"/>
      <c r="U19" s="6"/>
      <c r="V19" s="1"/>
      <c r="W19" s="21">
        <f>IFERROR(VLOOKUP("STR",A42:B45,2,false),0)</f>
        <v>0</v>
      </c>
      <c r="X19" s="5"/>
      <c r="Y19" s="6"/>
      <c r="Z19" s="1"/>
      <c r="AA19" s="25"/>
      <c r="AB19" s="5"/>
      <c r="AC19" s="6"/>
      <c r="AD19" s="1"/>
      <c r="AE19" s="1"/>
      <c r="AF19" s="26">
        <f>((AJ19+AM19)*AR19)+(AM22*AR22)+AJ22</f>
        <v>16</v>
      </c>
      <c r="AG19" s="5"/>
      <c r="AH19" s="5"/>
      <c r="AI19" s="6"/>
      <c r="AJ19" s="14">
        <v>8.0</v>
      </c>
      <c r="AK19" s="5"/>
      <c r="AL19" s="6"/>
      <c r="AM19" s="9">
        <f>$W$38</f>
        <v>0</v>
      </c>
      <c r="AN19" s="5"/>
      <c r="AO19" s="6"/>
      <c r="AP19" s="27" t="s">
        <v>36</v>
      </c>
      <c r="AR19" s="9">
        <f>AC9+1</f>
        <v>2</v>
      </c>
      <c r="AS19" s="5"/>
      <c r="AT19" s="6"/>
      <c r="AU19" s="20"/>
      <c r="AV19" s="20"/>
      <c r="AW19" s="18" t="s">
        <v>37</v>
      </c>
      <c r="BD19" s="20" t="s">
        <v>38</v>
      </c>
      <c r="BF19" s="26">
        <f>BI19+BL19+BO19</f>
        <v>0</v>
      </c>
      <c r="BG19" s="5"/>
      <c r="BH19" s="6"/>
      <c r="BI19" s="9">
        <f>VLookup(BD19,AbilityScores,9,false)</f>
        <v>0</v>
      </c>
      <c r="BJ19" s="5"/>
      <c r="BK19" s="6"/>
      <c r="BL19" s="9">
        <f>IF(BR19="Yes",$AC$9,0)</f>
        <v>0</v>
      </c>
      <c r="BM19" s="5"/>
      <c r="BN19" s="6"/>
      <c r="BO19" s="14"/>
      <c r="BP19" s="5"/>
      <c r="BQ19" s="6"/>
      <c r="BR19" s="14" t="s">
        <v>13</v>
      </c>
      <c r="BS19" s="5"/>
      <c r="BT19" s="5"/>
      <c r="BU19" s="6"/>
      <c r="BV19" s="1"/>
      <c r="BW19" s="1"/>
      <c r="CC19" s="11"/>
      <c r="CD19" s="12"/>
      <c r="CE19" s="13"/>
      <c r="CF19" s="19"/>
      <c r="CL19" s="11"/>
      <c r="CM19" s="12"/>
      <c r="CN19" s="13"/>
      <c r="CO19" s="19"/>
      <c r="CP19" s="19"/>
    </row>
    <row r="20" ht="11.25" customHeight="1">
      <c r="A20" s="1"/>
      <c r="B20" s="1"/>
      <c r="H20" s="11"/>
      <c r="I20" s="12"/>
      <c r="J20" s="13"/>
      <c r="K20" s="12"/>
      <c r="L20" s="12"/>
      <c r="M20" s="13"/>
      <c r="N20" s="1"/>
      <c r="O20" s="11"/>
      <c r="P20" s="12"/>
      <c r="Q20" s="13"/>
      <c r="R20" s="24"/>
      <c r="S20" s="11"/>
      <c r="T20" s="12"/>
      <c r="U20" s="13"/>
      <c r="V20" s="1"/>
      <c r="W20" s="11"/>
      <c r="X20" s="12"/>
      <c r="Y20" s="13"/>
      <c r="Z20" s="1"/>
      <c r="AA20" s="11"/>
      <c r="AB20" s="12"/>
      <c r="AC20" s="13"/>
      <c r="AD20" s="1"/>
      <c r="AE20" s="1"/>
      <c r="AF20" s="11"/>
      <c r="AG20" s="12"/>
      <c r="AH20" s="12"/>
      <c r="AI20" s="13"/>
      <c r="AJ20" s="11"/>
      <c r="AK20" s="12"/>
      <c r="AL20" s="13"/>
      <c r="AM20" s="11"/>
      <c r="AN20" s="12"/>
      <c r="AO20" s="13"/>
      <c r="AR20" s="11"/>
      <c r="AS20" s="12"/>
      <c r="AT20" s="13"/>
      <c r="AU20" s="20"/>
      <c r="AV20" s="20"/>
      <c r="BF20" s="11"/>
      <c r="BG20" s="12"/>
      <c r="BH20" s="13"/>
      <c r="BI20" s="11"/>
      <c r="BJ20" s="12"/>
      <c r="BK20" s="13"/>
      <c r="BL20" s="11"/>
      <c r="BM20" s="12"/>
      <c r="BN20" s="13"/>
      <c r="BO20" s="11"/>
      <c r="BP20" s="12"/>
      <c r="BQ20" s="13"/>
      <c r="BR20" s="11"/>
      <c r="BS20" s="12"/>
      <c r="BT20" s="12"/>
      <c r="BU20" s="13"/>
      <c r="BV20" s="1"/>
      <c r="BW20" s="1"/>
      <c r="BX20" s="18" t="s">
        <v>39</v>
      </c>
      <c r="CC20" s="9">
        <f>2+floor($AC$9/3)</f>
        <v>2</v>
      </c>
      <c r="CD20" s="5"/>
      <c r="CE20" s="6"/>
      <c r="CF20" s="18" t="s">
        <v>40</v>
      </c>
      <c r="CL20" s="9">
        <f>1+floor($AC$9/7)</f>
        <v>1</v>
      </c>
      <c r="CM20" s="5"/>
      <c r="CN20" s="6"/>
      <c r="CO20" s="19"/>
      <c r="CP20" s="19"/>
    </row>
    <row r="21" ht="11.25" customHeight="1">
      <c r="A21" s="1"/>
      <c r="B21" s="1"/>
      <c r="C21" s="28"/>
      <c r="D21" s="28"/>
      <c r="E21" s="28"/>
      <c r="F21" s="28"/>
      <c r="G21" s="28"/>
      <c r="H21" s="29"/>
      <c r="I21" s="29"/>
      <c r="J21" s="29"/>
      <c r="K21" s="29"/>
      <c r="L21" s="29"/>
      <c r="M21" s="29"/>
      <c r="N21" s="1"/>
      <c r="O21" s="30"/>
      <c r="P21" s="30"/>
      <c r="Q21" s="30"/>
      <c r="R21" s="31"/>
      <c r="S21" s="30"/>
      <c r="T21" s="30"/>
      <c r="U21" s="30"/>
      <c r="V21" s="1"/>
      <c r="W21" s="32"/>
      <c r="X21" s="32"/>
      <c r="Y21" s="32"/>
      <c r="Z21" s="1"/>
      <c r="AA21" s="30"/>
      <c r="AB21" s="30"/>
      <c r="AC21" s="30"/>
      <c r="AD21" s="1"/>
      <c r="AE21" s="1"/>
      <c r="AF21" s="1"/>
      <c r="AG21" s="1"/>
      <c r="AH21" s="1"/>
      <c r="AI21" s="1"/>
      <c r="AJ21" s="20" t="s">
        <v>24</v>
      </c>
      <c r="AM21" s="20" t="s">
        <v>41</v>
      </c>
      <c r="AP21" s="1"/>
      <c r="AQ21" s="1"/>
      <c r="AR21" s="20" t="s">
        <v>42</v>
      </c>
      <c r="AU21" s="1"/>
      <c r="AV21" s="1"/>
      <c r="AW21" s="18" t="s">
        <v>43</v>
      </c>
      <c r="BD21" s="20" t="s">
        <v>44</v>
      </c>
      <c r="BF21" s="26">
        <f>BI21+BL21+BO21</f>
        <v>0</v>
      </c>
      <c r="BG21" s="5"/>
      <c r="BH21" s="6"/>
      <c r="BI21" s="9">
        <f>VLookup(BD21,AbilityScores,9,false)</f>
        <v>0</v>
      </c>
      <c r="BJ21" s="5"/>
      <c r="BK21" s="6"/>
      <c r="BL21" s="9">
        <f>IF(BR21="Yes",$AC$9,0)</f>
        <v>0</v>
      </c>
      <c r="BM21" s="5"/>
      <c r="BN21" s="6"/>
      <c r="BO21" s="14"/>
      <c r="BP21" s="5"/>
      <c r="BQ21" s="6"/>
      <c r="BR21" s="14" t="s">
        <v>13</v>
      </c>
      <c r="BS21" s="5"/>
      <c r="BT21" s="5"/>
      <c r="BU21" s="6"/>
      <c r="BV21" s="1"/>
      <c r="BW21" s="1"/>
      <c r="CC21" s="11"/>
      <c r="CD21" s="12"/>
      <c r="CE21" s="13"/>
      <c r="CL21" s="11"/>
      <c r="CM21" s="12"/>
      <c r="CN21" s="13"/>
      <c r="CO21" s="19"/>
      <c r="CP21" s="19"/>
    </row>
    <row r="22" ht="11.25" customHeight="1">
      <c r="A22" s="1"/>
      <c r="B22" s="1"/>
      <c r="C22" s="8" t="s">
        <v>45</v>
      </c>
      <c r="H22" s="21">
        <f>FLOOR(SUM(O22,S22,W22,AA22))</f>
        <v>10</v>
      </c>
      <c r="I22" s="5"/>
      <c r="J22" s="6"/>
      <c r="K22" s="22">
        <f>FLOOR((H22-10)/2)</f>
        <v>0</v>
      </c>
      <c r="L22" s="5"/>
      <c r="M22" s="6"/>
      <c r="N22" s="1"/>
      <c r="O22" s="33">
        <v>10.0</v>
      </c>
      <c r="Q22" s="34"/>
      <c r="R22" s="24"/>
      <c r="S22" s="33"/>
      <c r="U22" s="34"/>
      <c r="V22" s="1"/>
      <c r="W22" s="35">
        <f>IFERROR(VLOOKUP("DEX",A42:B45,2,false),0)</f>
        <v>0</v>
      </c>
      <c r="Y22" s="34"/>
      <c r="Z22" s="1"/>
      <c r="AA22" s="33"/>
      <c r="AC22" s="34"/>
      <c r="AD22" s="1"/>
      <c r="AE22" s="1"/>
      <c r="AF22" s="1"/>
      <c r="AG22" s="1"/>
      <c r="AH22" s="1"/>
      <c r="AI22" s="1"/>
      <c r="AJ22" s="14">
        <v>0.0</v>
      </c>
      <c r="AK22" s="5"/>
      <c r="AL22" s="6"/>
      <c r="AM22" s="14">
        <v>0.0</v>
      </c>
      <c r="AN22" s="5"/>
      <c r="AO22" s="6"/>
      <c r="AP22" s="27" t="s">
        <v>36</v>
      </c>
      <c r="AR22" s="9">
        <f>AC9</f>
        <v>1</v>
      </c>
      <c r="AS22" s="5"/>
      <c r="AT22" s="6"/>
      <c r="AU22" s="1"/>
      <c r="AV22" s="1"/>
      <c r="BF22" s="11"/>
      <c r="BG22" s="12"/>
      <c r="BH22" s="13"/>
      <c r="BI22" s="11"/>
      <c r="BJ22" s="12"/>
      <c r="BK22" s="13"/>
      <c r="BL22" s="11"/>
      <c r="BM22" s="12"/>
      <c r="BN22" s="13"/>
      <c r="BO22" s="11"/>
      <c r="BP22" s="12"/>
      <c r="BQ22" s="13"/>
      <c r="BR22" s="11"/>
      <c r="BS22" s="12"/>
      <c r="BT22" s="12"/>
      <c r="BU22" s="13"/>
      <c r="BV22" s="1"/>
      <c r="BW22" s="1"/>
      <c r="BX22" s="18" t="s">
        <v>46</v>
      </c>
      <c r="CC22" s="9">
        <f>3+floor($AC$9/2)</f>
        <v>3</v>
      </c>
      <c r="CD22" s="5"/>
      <c r="CE22" s="6"/>
      <c r="CF22" s="19"/>
      <c r="CG22" s="19"/>
      <c r="CH22" s="1"/>
      <c r="CI22" s="1"/>
      <c r="CJ22" s="1"/>
      <c r="CK22" s="1"/>
      <c r="CL22" s="1"/>
      <c r="CM22" s="1"/>
      <c r="CN22" s="1"/>
      <c r="CO22" s="19"/>
      <c r="CP22" s="19"/>
    </row>
    <row r="23" ht="11.25" customHeight="1">
      <c r="A23" s="1"/>
      <c r="B23" s="1"/>
      <c r="H23" s="11"/>
      <c r="I23" s="12"/>
      <c r="J23" s="13"/>
      <c r="K23" s="12"/>
      <c r="L23" s="12"/>
      <c r="M23" s="13"/>
      <c r="N23" s="1"/>
      <c r="O23" s="11"/>
      <c r="P23" s="12"/>
      <c r="Q23" s="13"/>
      <c r="R23" s="24"/>
      <c r="S23" s="11"/>
      <c r="T23" s="12"/>
      <c r="U23" s="13"/>
      <c r="V23" s="1"/>
      <c r="W23" s="11"/>
      <c r="X23" s="12"/>
      <c r="Y23" s="13"/>
      <c r="Z23" s="1"/>
      <c r="AA23" s="11"/>
      <c r="AB23" s="12"/>
      <c r="AC23" s="13"/>
      <c r="AD23" s="1"/>
      <c r="AE23" s="1"/>
      <c r="AF23" s="1"/>
      <c r="AG23" s="1"/>
      <c r="AH23" s="1"/>
      <c r="AI23" s="1"/>
      <c r="AJ23" s="11"/>
      <c r="AK23" s="12"/>
      <c r="AL23" s="13"/>
      <c r="AM23" s="11"/>
      <c r="AN23" s="12"/>
      <c r="AO23" s="13"/>
      <c r="AR23" s="11"/>
      <c r="AS23" s="12"/>
      <c r="AT23" s="13"/>
      <c r="AU23" s="1"/>
      <c r="AV23" s="1"/>
      <c r="AW23" s="18" t="s">
        <v>47</v>
      </c>
      <c r="BD23" s="20" t="s">
        <v>38</v>
      </c>
      <c r="BF23" s="26">
        <f>BI23+BL23+BO23</f>
        <v>0</v>
      </c>
      <c r="BG23" s="5"/>
      <c r="BH23" s="6"/>
      <c r="BI23" s="9">
        <f>VLookup(BD23,AbilityScores,9,false)</f>
        <v>0</v>
      </c>
      <c r="BJ23" s="5"/>
      <c r="BK23" s="6"/>
      <c r="BL23" s="9">
        <f>IF(BR23="Yes",$AC$9,0)</f>
        <v>0</v>
      </c>
      <c r="BM23" s="5"/>
      <c r="BN23" s="6"/>
      <c r="BO23" s="14"/>
      <c r="BP23" s="5"/>
      <c r="BQ23" s="6"/>
      <c r="BR23" s="14" t="s">
        <v>13</v>
      </c>
      <c r="BS23" s="5"/>
      <c r="BT23" s="5"/>
      <c r="BU23" s="6"/>
      <c r="BV23" s="1"/>
      <c r="BW23" s="1"/>
      <c r="CC23" s="11"/>
      <c r="CD23" s="12"/>
      <c r="CE23" s="13"/>
      <c r="CF23" s="19"/>
      <c r="CG23" s="19"/>
      <c r="CH23" s="1"/>
      <c r="CI23" s="1"/>
      <c r="CJ23" s="1"/>
      <c r="CK23" s="1"/>
      <c r="CL23" s="1"/>
      <c r="CM23" s="1"/>
      <c r="CN23" s="1"/>
      <c r="CO23" s="1"/>
      <c r="CP23" s="1"/>
    </row>
    <row r="24" ht="11.25" customHeight="1">
      <c r="A24" s="1"/>
      <c r="B24" s="1"/>
      <c r="C24" s="28"/>
      <c r="D24" s="28"/>
      <c r="E24" s="28"/>
      <c r="F24" s="28"/>
      <c r="G24" s="28"/>
      <c r="H24" s="29"/>
      <c r="I24" s="29"/>
      <c r="J24" s="29"/>
      <c r="K24" s="29"/>
      <c r="L24" s="29"/>
      <c r="M24" s="29"/>
      <c r="N24" s="1"/>
      <c r="O24" s="30"/>
      <c r="P24" s="30"/>
      <c r="Q24" s="30"/>
      <c r="R24" s="31"/>
      <c r="S24" s="30"/>
      <c r="T24" s="30"/>
      <c r="U24" s="30"/>
      <c r="V24" s="1"/>
      <c r="W24" s="32"/>
      <c r="X24" s="32"/>
      <c r="Y24" s="32"/>
      <c r="Z24" s="1"/>
      <c r="AA24" s="30"/>
      <c r="AB24" s="30"/>
      <c r="AC24" s="30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BF24" s="11"/>
      <c r="BG24" s="12"/>
      <c r="BH24" s="13"/>
      <c r="BI24" s="11"/>
      <c r="BJ24" s="12"/>
      <c r="BK24" s="13"/>
      <c r="BL24" s="11"/>
      <c r="BM24" s="12"/>
      <c r="BN24" s="13"/>
      <c r="BO24" s="11"/>
      <c r="BP24" s="12"/>
      <c r="BQ24" s="13"/>
      <c r="BR24" s="11"/>
      <c r="BS24" s="12"/>
      <c r="BT24" s="12"/>
      <c r="BU24" s="13"/>
      <c r="BV24" s="1"/>
      <c r="BW24" s="1"/>
      <c r="BX24" s="18"/>
      <c r="BY24" s="18"/>
      <c r="BZ24" s="18"/>
      <c r="CA24" s="18"/>
      <c r="CB24" s="18"/>
      <c r="CC24" s="19"/>
      <c r="CD24" s="19"/>
      <c r="CE24" s="19"/>
      <c r="CF24" s="19"/>
      <c r="CG24" s="19"/>
      <c r="CH24" s="1"/>
      <c r="CI24" s="1"/>
      <c r="CJ24" s="1"/>
      <c r="CK24" s="1"/>
      <c r="CL24" s="1"/>
      <c r="CM24" s="1"/>
      <c r="CN24" s="1"/>
      <c r="CO24" s="1"/>
      <c r="CP24" s="1"/>
    </row>
    <row r="25" ht="11.25" customHeight="1">
      <c r="A25" s="1"/>
      <c r="B25" s="1"/>
      <c r="C25" s="8" t="s">
        <v>48</v>
      </c>
      <c r="H25" s="21">
        <f>FLOOR(SUM(O25,S25,W25,AA25))</f>
        <v>10</v>
      </c>
      <c r="I25" s="5"/>
      <c r="J25" s="6"/>
      <c r="K25" s="22">
        <f>FLOOR((H25-10)/2)</f>
        <v>0</v>
      </c>
      <c r="L25" s="5"/>
      <c r="M25" s="6"/>
      <c r="N25" s="1"/>
      <c r="O25" s="33">
        <v>10.0</v>
      </c>
      <c r="Q25" s="34"/>
      <c r="R25" s="24"/>
      <c r="S25" s="33"/>
      <c r="U25" s="34"/>
      <c r="V25" s="1"/>
      <c r="W25" s="36">
        <f>IFERROR(VLOOKUP("CON",A42:B45,2,false),0)</f>
        <v>0</v>
      </c>
      <c r="Y25" s="34"/>
      <c r="Z25" s="1"/>
      <c r="AA25" s="37"/>
      <c r="AC25" s="34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8" t="s">
        <v>49</v>
      </c>
      <c r="BD25" s="20" t="s">
        <v>38</v>
      </c>
      <c r="BF25" s="26">
        <f>BI25+BL25+BO25</f>
        <v>0</v>
      </c>
      <c r="BG25" s="5"/>
      <c r="BH25" s="6"/>
      <c r="BI25" s="9">
        <f>VLookup(BD25,AbilityScores,9,false)</f>
        <v>0</v>
      </c>
      <c r="BJ25" s="5"/>
      <c r="BK25" s="6"/>
      <c r="BL25" s="9">
        <f>IF(BR25="Yes",$AC$9,0)</f>
        <v>0</v>
      </c>
      <c r="BM25" s="5"/>
      <c r="BN25" s="6"/>
      <c r="BO25" s="14"/>
      <c r="BP25" s="5"/>
      <c r="BQ25" s="6"/>
      <c r="BR25" s="14" t="s">
        <v>13</v>
      </c>
      <c r="BS25" s="5"/>
      <c r="BT25" s="5"/>
      <c r="BU25" s="6"/>
      <c r="BV25" s="1"/>
      <c r="BW25" s="1"/>
      <c r="BX25" s="18"/>
      <c r="BY25" s="18"/>
      <c r="BZ25" s="18"/>
      <c r="CA25" s="18"/>
      <c r="CB25" s="18"/>
      <c r="CC25" s="18"/>
      <c r="CD25" s="18"/>
      <c r="CE25" s="18"/>
      <c r="CF25" s="18"/>
      <c r="CG25" s="19"/>
      <c r="CH25" s="1"/>
      <c r="CI25" s="1"/>
      <c r="CJ25" s="1"/>
      <c r="CK25" s="1"/>
      <c r="CL25" s="1"/>
      <c r="CM25" s="1"/>
      <c r="CN25" s="1"/>
      <c r="CO25" s="1"/>
      <c r="CP25" s="1"/>
    </row>
    <row r="26" ht="11.25" customHeight="1">
      <c r="A26" s="1"/>
      <c r="B26" s="1"/>
      <c r="H26" s="11"/>
      <c r="I26" s="12"/>
      <c r="J26" s="13"/>
      <c r="K26" s="12"/>
      <c r="L26" s="12"/>
      <c r="M26" s="13"/>
      <c r="N26" s="1"/>
      <c r="O26" s="11"/>
      <c r="P26" s="12"/>
      <c r="Q26" s="13"/>
      <c r="R26" s="24"/>
      <c r="S26" s="11"/>
      <c r="T26" s="12"/>
      <c r="U26" s="13"/>
      <c r="V26" s="1"/>
      <c r="W26" s="11"/>
      <c r="X26" s="12"/>
      <c r="Y26" s="13"/>
      <c r="Z26" s="1"/>
      <c r="AA26" s="11"/>
      <c r="AB26" s="12"/>
      <c r="AC26" s="13"/>
      <c r="AD26" s="1"/>
      <c r="AE26" s="1"/>
      <c r="AF26" s="8" t="s">
        <v>50</v>
      </c>
      <c r="AU26" s="1"/>
      <c r="AV26" s="1"/>
      <c r="BF26" s="11"/>
      <c r="BG26" s="12"/>
      <c r="BH26" s="13"/>
      <c r="BI26" s="11"/>
      <c r="BJ26" s="12"/>
      <c r="BK26" s="13"/>
      <c r="BL26" s="11"/>
      <c r="BM26" s="12"/>
      <c r="BN26" s="13"/>
      <c r="BO26" s="11"/>
      <c r="BP26" s="12"/>
      <c r="BQ26" s="13"/>
      <c r="BR26" s="11"/>
      <c r="BS26" s="12"/>
      <c r="BT26" s="12"/>
      <c r="BU26" s="13"/>
      <c r="BV26" s="1"/>
      <c r="BW26" s="1"/>
      <c r="BX26" s="8" t="s">
        <v>51</v>
      </c>
      <c r="CO26" s="1"/>
      <c r="CP26" s="1"/>
    </row>
    <row r="27" ht="11.25" customHeight="1">
      <c r="A27" s="1"/>
      <c r="B27" s="1"/>
      <c r="C27" s="28"/>
      <c r="D27" s="28"/>
      <c r="E27" s="28"/>
      <c r="F27" s="28"/>
      <c r="G27" s="28"/>
      <c r="H27" s="29"/>
      <c r="I27" s="29"/>
      <c r="J27" s="29"/>
      <c r="K27" s="29"/>
      <c r="L27" s="29"/>
      <c r="M27" s="29"/>
      <c r="N27" s="1"/>
      <c r="O27" s="30"/>
      <c r="P27" s="30"/>
      <c r="Q27" s="30"/>
      <c r="R27" s="31"/>
      <c r="S27" s="30"/>
      <c r="T27" s="30"/>
      <c r="U27" s="30"/>
      <c r="V27" s="1"/>
      <c r="W27" s="32"/>
      <c r="X27" s="32"/>
      <c r="Y27" s="32"/>
      <c r="Z27" s="1"/>
      <c r="AA27" s="30"/>
      <c r="AB27" s="30"/>
      <c r="AC27" s="30"/>
      <c r="AD27" s="1"/>
      <c r="AE27" s="1"/>
      <c r="AU27" s="1"/>
      <c r="AV27" s="1"/>
      <c r="AW27" s="18" t="s">
        <v>52</v>
      </c>
      <c r="BD27" s="20" t="s">
        <v>38</v>
      </c>
      <c r="BF27" s="26">
        <f>BI27+BL27+BO27</f>
        <v>0</v>
      </c>
      <c r="BG27" s="5"/>
      <c r="BH27" s="6"/>
      <c r="BI27" s="9">
        <f>VLookup(BD27,AbilityScores,9,false)</f>
        <v>0</v>
      </c>
      <c r="BJ27" s="5"/>
      <c r="BK27" s="6"/>
      <c r="BL27" s="9">
        <f>IF(BR27="Yes",$AC$9,0)</f>
        <v>0</v>
      </c>
      <c r="BM27" s="5"/>
      <c r="BN27" s="6"/>
      <c r="BO27" s="14"/>
      <c r="BP27" s="5"/>
      <c r="BQ27" s="6"/>
      <c r="BR27" s="14" t="s">
        <v>13</v>
      </c>
      <c r="BS27" s="5"/>
      <c r="BT27" s="5"/>
      <c r="BU27" s="6"/>
      <c r="BV27" s="1"/>
      <c r="BW27" s="1"/>
      <c r="CO27" s="1"/>
      <c r="CP27" s="1"/>
    </row>
    <row r="28" ht="11.25" customHeight="1">
      <c r="A28" s="1"/>
      <c r="B28" s="1"/>
      <c r="C28" s="8" t="s">
        <v>53</v>
      </c>
      <c r="H28" s="21">
        <f>FLOOR(SUM(O28,S28,W28,AA28))</f>
        <v>10</v>
      </c>
      <c r="I28" s="5"/>
      <c r="J28" s="6"/>
      <c r="K28" s="22">
        <f>FLOOR((H28-10)/2)</f>
        <v>0</v>
      </c>
      <c r="L28" s="5"/>
      <c r="M28" s="6"/>
      <c r="N28" s="1"/>
      <c r="O28" s="33">
        <v>10.0</v>
      </c>
      <c r="Q28" s="34"/>
      <c r="R28" s="24"/>
      <c r="S28" s="33"/>
      <c r="U28" s="34"/>
      <c r="V28" s="1"/>
      <c r="W28" s="36">
        <f>IFERROR(VLOOKUP("INT",A42:B45,2,false),0)</f>
        <v>0</v>
      </c>
      <c r="Y28" s="34"/>
      <c r="Z28" s="1"/>
      <c r="AA28" s="37"/>
      <c r="AC28" s="34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BF28" s="11"/>
      <c r="BG28" s="12"/>
      <c r="BH28" s="13"/>
      <c r="BI28" s="11"/>
      <c r="BJ28" s="12"/>
      <c r="BK28" s="13"/>
      <c r="BL28" s="11"/>
      <c r="BM28" s="12"/>
      <c r="BN28" s="13"/>
      <c r="BO28" s="11"/>
      <c r="BP28" s="12"/>
      <c r="BQ28" s="13"/>
      <c r="BR28" s="11"/>
      <c r="BS28" s="12"/>
      <c r="BT28" s="12"/>
      <c r="BU28" s="13"/>
      <c r="BV28" s="1"/>
      <c r="BW28" s="1"/>
      <c r="BX28" s="16" t="s">
        <v>54</v>
      </c>
      <c r="CD28" s="16" t="s">
        <v>55</v>
      </c>
      <c r="CG28" s="16"/>
      <c r="CH28" s="16" t="s">
        <v>56</v>
      </c>
      <c r="CO28" s="1"/>
      <c r="CP28" s="1"/>
    </row>
    <row r="29" ht="11.25" customHeight="1">
      <c r="A29" s="1"/>
      <c r="B29" s="1"/>
      <c r="H29" s="11"/>
      <c r="I29" s="12"/>
      <c r="J29" s="13"/>
      <c r="K29" s="12"/>
      <c r="L29" s="12"/>
      <c r="M29" s="13"/>
      <c r="N29" s="1"/>
      <c r="O29" s="11"/>
      <c r="P29" s="12"/>
      <c r="Q29" s="13"/>
      <c r="R29" s="24"/>
      <c r="S29" s="11"/>
      <c r="T29" s="12"/>
      <c r="U29" s="13"/>
      <c r="V29" s="1"/>
      <c r="W29" s="11"/>
      <c r="X29" s="12"/>
      <c r="Y29" s="13"/>
      <c r="Z29" s="1"/>
      <c r="AA29" s="11"/>
      <c r="AB29" s="12"/>
      <c r="AC29" s="13"/>
      <c r="AD29" s="1"/>
      <c r="AE29" s="1"/>
      <c r="AF29" s="15"/>
      <c r="AG29" s="15"/>
      <c r="AH29" s="15"/>
      <c r="AI29" s="16"/>
      <c r="AJ29" s="16"/>
      <c r="AK29" s="16"/>
      <c r="AL29" s="16" t="s">
        <v>29</v>
      </c>
      <c r="AO29" s="16" t="s">
        <v>22</v>
      </c>
      <c r="AR29" s="16" t="s">
        <v>24</v>
      </c>
      <c r="AU29" s="1"/>
      <c r="AV29" s="1"/>
      <c r="AW29" s="18" t="s">
        <v>57</v>
      </c>
      <c r="BD29" s="20" t="s">
        <v>58</v>
      </c>
      <c r="BF29" s="26">
        <f>BI29+BL29+BO29</f>
        <v>0</v>
      </c>
      <c r="BG29" s="5"/>
      <c r="BH29" s="6"/>
      <c r="BI29" s="9">
        <f>VLookup(BD29,AbilityScores,9,false)</f>
        <v>0</v>
      </c>
      <c r="BJ29" s="5"/>
      <c r="BK29" s="6"/>
      <c r="BL29" s="9">
        <f>IF(BR29="Yes",$AC$9,0)</f>
        <v>0</v>
      </c>
      <c r="BM29" s="5"/>
      <c r="BN29" s="6"/>
      <c r="BO29" s="14"/>
      <c r="BP29" s="5"/>
      <c r="BQ29" s="6"/>
      <c r="BR29" s="14" t="s">
        <v>13</v>
      </c>
      <c r="BS29" s="5"/>
      <c r="BT29" s="5"/>
      <c r="BU29" s="6"/>
      <c r="BV29" s="1"/>
      <c r="BW29" s="1"/>
      <c r="BX29" s="38" t="s">
        <v>59</v>
      </c>
      <c r="BY29" s="5"/>
      <c r="BZ29" s="5"/>
      <c r="CA29" s="5"/>
      <c r="CB29" s="5"/>
      <c r="CC29" s="6"/>
      <c r="CD29" s="39">
        <f>SWITCH(BX29,"Fast",$AY$3,"Slow",$AY$7,"Medium",$AY$5,0)</f>
        <v>0</v>
      </c>
      <c r="CE29" s="5"/>
      <c r="CF29" s="6"/>
      <c r="CG29" s="40"/>
      <c r="CH29" s="9">
        <f>IF(CK29="N/A",0,VLOOKUP(CK29,AbilityScores,9,false))</f>
        <v>0</v>
      </c>
      <c r="CI29" s="5"/>
      <c r="CJ29" s="6"/>
      <c r="CK29" s="38" t="s">
        <v>59</v>
      </c>
      <c r="CL29" s="5"/>
      <c r="CM29" s="5"/>
      <c r="CN29" s="6"/>
      <c r="CO29" s="1"/>
      <c r="CP29" s="1"/>
    </row>
    <row r="30" ht="11.25" customHeight="1">
      <c r="A30" s="1"/>
      <c r="B30" s="1"/>
      <c r="C30" s="28"/>
      <c r="D30" s="28"/>
      <c r="E30" s="28"/>
      <c r="F30" s="28"/>
      <c r="G30" s="28"/>
      <c r="H30" s="29"/>
      <c r="I30" s="29"/>
      <c r="J30" s="29"/>
      <c r="K30" s="29"/>
      <c r="L30" s="29"/>
      <c r="M30" s="29"/>
      <c r="N30" s="1"/>
      <c r="O30" s="30"/>
      <c r="P30" s="30"/>
      <c r="Q30" s="30"/>
      <c r="R30" s="31"/>
      <c r="S30" s="30"/>
      <c r="T30" s="30"/>
      <c r="U30" s="30"/>
      <c r="V30" s="1"/>
      <c r="W30" s="32"/>
      <c r="X30" s="32"/>
      <c r="Y30" s="32"/>
      <c r="Z30" s="1"/>
      <c r="AA30" s="30"/>
      <c r="AB30" s="30"/>
      <c r="AC30" s="30"/>
      <c r="AD30" s="1"/>
      <c r="AE30" s="1"/>
      <c r="AF30" s="8" t="s">
        <v>60</v>
      </c>
      <c r="AL30" s="26">
        <f>AO30+AR30+AO33+AR33+AL33</f>
        <v>30</v>
      </c>
      <c r="AM30" s="5"/>
      <c r="AN30" s="6"/>
      <c r="AO30" s="18">
        <v>30.0</v>
      </c>
      <c r="AR30" s="14"/>
      <c r="AS30" s="5"/>
      <c r="AT30" s="6"/>
      <c r="AU30" s="1"/>
      <c r="AV30" s="1"/>
      <c r="BF30" s="11"/>
      <c r="BG30" s="12"/>
      <c r="BH30" s="13"/>
      <c r="BI30" s="11"/>
      <c r="BJ30" s="12"/>
      <c r="BK30" s="13"/>
      <c r="BL30" s="11"/>
      <c r="BM30" s="12"/>
      <c r="BN30" s="13"/>
      <c r="BO30" s="11"/>
      <c r="BP30" s="12"/>
      <c r="BQ30" s="13"/>
      <c r="BR30" s="11"/>
      <c r="BS30" s="12"/>
      <c r="BT30" s="12"/>
      <c r="BU30" s="13"/>
      <c r="BV30" s="1"/>
      <c r="BW30" s="1"/>
      <c r="BX30" s="11"/>
      <c r="BY30" s="12"/>
      <c r="BZ30" s="12"/>
      <c r="CA30" s="12"/>
      <c r="CB30" s="12"/>
      <c r="CC30" s="13"/>
      <c r="CD30" s="11"/>
      <c r="CE30" s="12"/>
      <c r="CF30" s="13"/>
      <c r="CG30" s="40"/>
      <c r="CH30" s="11"/>
      <c r="CI30" s="12"/>
      <c r="CJ30" s="13"/>
      <c r="CK30" s="11"/>
      <c r="CL30" s="12"/>
      <c r="CM30" s="12"/>
      <c r="CN30" s="13"/>
      <c r="CO30" s="1"/>
      <c r="CP30" s="1"/>
    </row>
    <row r="31" ht="11.25" customHeight="1">
      <c r="A31" s="1"/>
      <c r="B31" s="1"/>
      <c r="C31" s="8" t="s">
        <v>61</v>
      </c>
      <c r="H31" s="21">
        <f>FLOOR(SUM(O31,S31,W31,AA31))</f>
        <v>10</v>
      </c>
      <c r="I31" s="5"/>
      <c r="J31" s="6"/>
      <c r="K31" s="22">
        <f>FLOOR((H31-10)/2)</f>
        <v>0</v>
      </c>
      <c r="L31" s="5"/>
      <c r="M31" s="6"/>
      <c r="N31" s="1"/>
      <c r="O31" s="33">
        <v>10.0</v>
      </c>
      <c r="Q31" s="34"/>
      <c r="R31" s="24"/>
      <c r="S31" s="37"/>
      <c r="U31" s="34"/>
      <c r="V31" s="1"/>
      <c r="W31" s="36">
        <f>IFERROR(VLOOKUP("WIS",A42:B45,2,false),0)</f>
        <v>0</v>
      </c>
      <c r="Y31" s="34"/>
      <c r="Z31" s="1"/>
      <c r="AA31" s="37"/>
      <c r="AC31" s="34"/>
      <c r="AD31" s="1"/>
      <c r="AE31" s="1"/>
      <c r="AL31" s="11"/>
      <c r="AM31" s="12"/>
      <c r="AN31" s="13"/>
      <c r="AR31" s="11"/>
      <c r="AS31" s="12"/>
      <c r="AT31" s="13"/>
      <c r="AU31" s="1"/>
      <c r="AV31" s="1"/>
      <c r="AW31" s="20" t="s">
        <v>62</v>
      </c>
      <c r="BD31" s="17"/>
      <c r="BE31" s="17"/>
      <c r="BF31" s="20" t="s">
        <v>29</v>
      </c>
      <c r="BI31" s="20" t="s">
        <v>30</v>
      </c>
      <c r="BL31" s="20" t="s">
        <v>31</v>
      </c>
      <c r="BO31" s="20" t="s">
        <v>24</v>
      </c>
      <c r="BR31" s="20" t="s">
        <v>32</v>
      </c>
      <c r="BV31" s="1"/>
      <c r="BW31" s="1"/>
      <c r="BX31" s="38" t="s">
        <v>59</v>
      </c>
      <c r="BY31" s="5"/>
      <c r="BZ31" s="5"/>
      <c r="CA31" s="5"/>
      <c r="CB31" s="5"/>
      <c r="CC31" s="6"/>
      <c r="CD31" s="39">
        <f>SWITCH(BX31,"Fast",$AY$3,"Slow",$AY$7,"Medium",$AY$5,0)</f>
        <v>0</v>
      </c>
      <c r="CE31" s="5"/>
      <c r="CF31" s="6"/>
      <c r="CG31" s="40"/>
      <c r="CH31" s="9">
        <f>IF(CK31="N/A",0,VLOOKUP(CK31,AbilityScores,9,false))</f>
        <v>0</v>
      </c>
      <c r="CI31" s="5"/>
      <c r="CJ31" s="6"/>
      <c r="CK31" s="38" t="s">
        <v>59</v>
      </c>
      <c r="CL31" s="5"/>
      <c r="CM31" s="5"/>
      <c r="CN31" s="6"/>
      <c r="CO31" s="1"/>
      <c r="CP31" s="1"/>
    </row>
    <row r="32" ht="11.25" customHeight="1">
      <c r="A32" s="1"/>
      <c r="B32" s="1"/>
      <c r="H32" s="11"/>
      <c r="I32" s="12"/>
      <c r="J32" s="13"/>
      <c r="K32" s="12"/>
      <c r="L32" s="12"/>
      <c r="M32" s="13"/>
      <c r="N32" s="1"/>
      <c r="O32" s="11"/>
      <c r="P32" s="12"/>
      <c r="Q32" s="13"/>
      <c r="R32" s="24"/>
      <c r="S32" s="11"/>
      <c r="T32" s="12"/>
      <c r="U32" s="13"/>
      <c r="V32" s="1"/>
      <c r="W32" s="11"/>
      <c r="X32" s="12"/>
      <c r="Y32" s="13"/>
      <c r="Z32" s="1"/>
      <c r="AA32" s="11"/>
      <c r="AB32" s="12"/>
      <c r="AC32" s="13"/>
      <c r="AD32" s="1"/>
      <c r="AE32" s="1"/>
      <c r="AF32" s="1"/>
      <c r="AG32" s="1"/>
      <c r="AH32" s="1"/>
      <c r="AI32" s="1"/>
      <c r="AJ32" s="1"/>
      <c r="AK32" s="1"/>
      <c r="AL32" s="16" t="s">
        <v>10</v>
      </c>
      <c r="AO32" s="16" t="s">
        <v>8</v>
      </c>
      <c r="AR32" s="16" t="str">
        <f>IF(COUNTIF(BA58:BA76,"Dartmuth Secret"),"Arcana","Athletics")</f>
        <v>Athletics</v>
      </c>
      <c r="AU32" s="41">
        <f>VLOOKUP(AR32,AW19:BL51,16,false)</f>
        <v>0</v>
      </c>
      <c r="AV32" s="1"/>
      <c r="AW32" s="42" t="s">
        <v>63</v>
      </c>
      <c r="BD32" s="20" t="s">
        <v>64</v>
      </c>
      <c r="BF32" s="26">
        <f>BI32+BL32+BO32</f>
        <v>0</v>
      </c>
      <c r="BG32" s="5"/>
      <c r="BH32" s="6"/>
      <c r="BI32" s="9">
        <f>VLookup(BD32,AbilityScores,9,false)</f>
        <v>0</v>
      </c>
      <c r="BJ32" s="5"/>
      <c r="BK32" s="6"/>
      <c r="BL32" s="9">
        <f>IF(BR32="Yes",$AC$9,0)</f>
        <v>0</v>
      </c>
      <c r="BM32" s="5"/>
      <c r="BN32" s="6"/>
      <c r="BO32" s="14"/>
      <c r="BP32" s="5"/>
      <c r="BQ32" s="6"/>
      <c r="BR32" s="14" t="s">
        <v>13</v>
      </c>
      <c r="BS32" s="5"/>
      <c r="BT32" s="5"/>
      <c r="BU32" s="6"/>
      <c r="BV32" s="1"/>
      <c r="BW32" s="1"/>
      <c r="BX32" s="11"/>
      <c r="BY32" s="12"/>
      <c r="BZ32" s="12"/>
      <c r="CA32" s="12"/>
      <c r="CB32" s="12"/>
      <c r="CC32" s="13"/>
      <c r="CD32" s="11"/>
      <c r="CE32" s="12"/>
      <c r="CF32" s="13"/>
      <c r="CG32" s="40"/>
      <c r="CH32" s="11"/>
      <c r="CI32" s="12"/>
      <c r="CJ32" s="13"/>
      <c r="CK32" s="11"/>
      <c r="CL32" s="12"/>
      <c r="CM32" s="12"/>
      <c r="CN32" s="13"/>
      <c r="CO32" s="1"/>
      <c r="CP32" s="1"/>
    </row>
    <row r="33" ht="11.25" customHeight="1">
      <c r="A33" s="1"/>
      <c r="B33" s="1"/>
      <c r="C33" s="28"/>
      <c r="D33" s="28"/>
      <c r="E33" s="28"/>
      <c r="F33" s="28"/>
      <c r="G33" s="28"/>
      <c r="H33" s="29"/>
      <c r="I33" s="29"/>
      <c r="J33" s="29"/>
      <c r="K33" s="29"/>
      <c r="L33" s="29"/>
      <c r="M33" s="29"/>
      <c r="N33" s="1"/>
      <c r="O33" s="30"/>
      <c r="P33" s="30"/>
      <c r="Q33" s="30"/>
      <c r="R33" s="31"/>
      <c r="S33" s="30"/>
      <c r="T33" s="30"/>
      <c r="U33" s="30"/>
      <c r="V33" s="1"/>
      <c r="W33" s="32"/>
      <c r="X33" s="32"/>
      <c r="Y33" s="32"/>
      <c r="Z33" s="1"/>
      <c r="AA33" s="30"/>
      <c r="AB33" s="30"/>
      <c r="AC33" s="30"/>
      <c r="AD33" s="1"/>
      <c r="AE33" s="1"/>
      <c r="AF33" s="1"/>
      <c r="AG33" s="1"/>
      <c r="AH33" s="1"/>
      <c r="AI33" s="1"/>
      <c r="AJ33" s="1"/>
      <c r="AK33" s="1"/>
      <c r="AL33" s="9">
        <f>SWITCH(Q11,"Small",-5,"Average",0,5)</f>
        <v>0</v>
      </c>
      <c r="AM33" s="5"/>
      <c r="AN33" s="6"/>
      <c r="AO33" s="9">
        <f>(floor((AC9+1)/3))*5</f>
        <v>0</v>
      </c>
      <c r="AP33" s="5"/>
      <c r="AQ33" s="6"/>
      <c r="AR33" s="9">
        <f>((sign($AU$32)+floor($AU$32/5))*5)</f>
        <v>0</v>
      </c>
      <c r="AS33" s="5"/>
      <c r="AT33" s="6"/>
      <c r="AU33" s="1"/>
      <c r="AV33" s="1"/>
      <c r="BF33" s="11"/>
      <c r="BG33" s="12"/>
      <c r="BH33" s="13"/>
      <c r="BI33" s="11"/>
      <c r="BJ33" s="12"/>
      <c r="BK33" s="13"/>
      <c r="BL33" s="11"/>
      <c r="BM33" s="12"/>
      <c r="BN33" s="13"/>
      <c r="BO33" s="11"/>
      <c r="BP33" s="12"/>
      <c r="BQ33" s="13"/>
      <c r="BR33" s="11"/>
      <c r="BS33" s="12"/>
      <c r="BT33" s="12"/>
      <c r="BU33" s="13"/>
      <c r="BV33" s="1"/>
      <c r="BW33" s="1"/>
      <c r="BX33" s="16"/>
      <c r="BY33" s="16"/>
      <c r="BZ33" s="16"/>
      <c r="CA33" s="16"/>
      <c r="CB33" s="16"/>
      <c r="CC33" s="16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</row>
    <row r="34" ht="11.25" customHeight="1">
      <c r="A34" s="1"/>
      <c r="B34" s="1"/>
      <c r="C34" s="8" t="s">
        <v>65</v>
      </c>
      <c r="H34" s="21">
        <f>FLOOR(SUM(O34,S34,W34,AA34))</f>
        <v>10</v>
      </c>
      <c r="I34" s="5"/>
      <c r="J34" s="6"/>
      <c r="K34" s="22">
        <f>FLOOR((H34-10)/2)</f>
        <v>0</v>
      </c>
      <c r="L34" s="5"/>
      <c r="M34" s="6"/>
      <c r="N34" s="1"/>
      <c r="O34" s="33">
        <v>10.0</v>
      </c>
      <c r="Q34" s="34"/>
      <c r="R34" s="24"/>
      <c r="S34" s="37"/>
      <c r="U34" s="34"/>
      <c r="V34" s="1"/>
      <c r="W34" s="36">
        <f>IFERROR(VLOOKUP("CHA",A42:B45,2,false),0)</f>
        <v>0</v>
      </c>
      <c r="Y34" s="34"/>
      <c r="Z34" s="1"/>
      <c r="AA34" s="37"/>
      <c r="AC34" s="34"/>
      <c r="AD34" s="1"/>
      <c r="AE34" s="1"/>
      <c r="AF34" s="2"/>
      <c r="AG34" s="2"/>
      <c r="AH34" s="2"/>
      <c r="AI34" s="2"/>
      <c r="AJ34" s="2"/>
      <c r="AK34" s="2"/>
      <c r="AL34" s="11"/>
      <c r="AM34" s="12"/>
      <c r="AN34" s="13"/>
      <c r="AO34" s="11"/>
      <c r="AP34" s="12"/>
      <c r="AQ34" s="13"/>
      <c r="AR34" s="11"/>
      <c r="AS34" s="12"/>
      <c r="AT34" s="13"/>
      <c r="AU34" s="1"/>
      <c r="AV34" s="1"/>
      <c r="AW34" s="43" t="s">
        <v>66</v>
      </c>
      <c r="BD34" s="20" t="s">
        <v>64</v>
      </c>
      <c r="BF34" s="26">
        <f>BI34+BL34+BO34</f>
        <v>0</v>
      </c>
      <c r="BG34" s="5"/>
      <c r="BH34" s="6"/>
      <c r="BI34" s="9">
        <f>VLookup(BD34,AbilityScores,9,false)</f>
        <v>0</v>
      </c>
      <c r="BJ34" s="5"/>
      <c r="BK34" s="6"/>
      <c r="BL34" s="9">
        <f>IF(BR34="Yes",$AC$9,0)</f>
        <v>0</v>
      </c>
      <c r="BM34" s="5"/>
      <c r="BN34" s="6"/>
      <c r="BO34" s="14"/>
      <c r="BP34" s="5"/>
      <c r="BQ34" s="6"/>
      <c r="BR34" s="14" t="s">
        <v>13</v>
      </c>
      <c r="BS34" s="5"/>
      <c r="BT34" s="5"/>
      <c r="BU34" s="6"/>
      <c r="BV34" s="1"/>
      <c r="BW34" s="1"/>
      <c r="BX34" s="16" t="s">
        <v>55</v>
      </c>
      <c r="BZ34" s="16" t="s">
        <v>67</v>
      </c>
      <c r="CC34" s="16" t="s">
        <v>68</v>
      </c>
      <c r="CF34" s="16" t="s">
        <v>7</v>
      </c>
      <c r="CI34" s="16" t="s">
        <v>69</v>
      </c>
      <c r="CL34" s="16" t="s">
        <v>70</v>
      </c>
      <c r="CO34" s="1"/>
      <c r="CP34" s="1"/>
    </row>
    <row r="35" ht="11.25" customHeight="1">
      <c r="A35" s="1"/>
      <c r="B35" s="1"/>
      <c r="H35" s="11"/>
      <c r="I35" s="12"/>
      <c r="J35" s="13"/>
      <c r="K35" s="12"/>
      <c r="L35" s="12"/>
      <c r="M35" s="13"/>
      <c r="N35" s="1"/>
      <c r="O35" s="11"/>
      <c r="P35" s="12"/>
      <c r="Q35" s="13"/>
      <c r="R35" s="24"/>
      <c r="S35" s="11"/>
      <c r="T35" s="12"/>
      <c r="U35" s="13"/>
      <c r="V35" s="1"/>
      <c r="W35" s="11"/>
      <c r="X35" s="12"/>
      <c r="Y35" s="13"/>
      <c r="Z35" s="1"/>
      <c r="AA35" s="11"/>
      <c r="AB35" s="12"/>
      <c r="AC35" s="13"/>
      <c r="AD35" s="1"/>
      <c r="AE35" s="1"/>
      <c r="AF35" s="44" t="s">
        <v>71</v>
      </c>
      <c r="AL35" s="16" t="s">
        <v>72</v>
      </c>
      <c r="AO35" s="16" t="s">
        <v>8</v>
      </c>
      <c r="AR35" s="16" t="s">
        <v>10</v>
      </c>
      <c r="AU35" s="1"/>
      <c r="AV35" s="1"/>
      <c r="BF35" s="11"/>
      <c r="BG35" s="12"/>
      <c r="BH35" s="13"/>
      <c r="BI35" s="11"/>
      <c r="BJ35" s="12"/>
      <c r="BK35" s="13"/>
      <c r="BL35" s="11"/>
      <c r="BM35" s="12"/>
      <c r="BN35" s="13"/>
      <c r="BO35" s="11"/>
      <c r="BP35" s="12"/>
      <c r="BQ35" s="13"/>
      <c r="BR35" s="11"/>
      <c r="BS35" s="12"/>
      <c r="BT35" s="12"/>
      <c r="BU35" s="13"/>
      <c r="BV35" s="1"/>
      <c r="BW35" s="1"/>
      <c r="BX35" s="18">
        <v>1.0</v>
      </c>
      <c r="BZ35" s="26">
        <f>(CF35+CC35)*IF($CD$29&gt;=$BX$35,1,0)</f>
        <v>0</v>
      </c>
      <c r="CA35" s="5"/>
      <c r="CB35" s="6"/>
      <c r="CC35" s="9">
        <f>floor(($CH$29+3)/4)*IF($CD$29&gt;=BX35,1,0)</f>
        <v>0</v>
      </c>
      <c r="CD35" s="5"/>
      <c r="CE35" s="6"/>
      <c r="CF35" s="9">
        <f>min(5,2+floor($AC$9/2))*IF(max($CD$29,$CD$31)&gt;=BX35,1,0)</f>
        <v>0</v>
      </c>
      <c r="CG35" s="5"/>
      <c r="CH35" s="6"/>
      <c r="CI35" s="26">
        <f>(CF35+CL35)*IF($CD$31&gt;=$BX$35,1,0)</f>
        <v>0</v>
      </c>
      <c r="CJ35" s="5"/>
      <c r="CK35" s="6"/>
      <c r="CL35" s="9">
        <f>floor(($CH$31+3)/4)*IF($CD$31&gt;=$BX$35,1,0)</f>
        <v>0</v>
      </c>
      <c r="CM35" s="5"/>
      <c r="CN35" s="6"/>
      <c r="CO35" s="1"/>
      <c r="CP35" s="1"/>
    </row>
    <row r="3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8" t="s">
        <v>73</v>
      </c>
      <c r="AL36" s="26">
        <f>AO36+AR36</f>
        <v>5</v>
      </c>
      <c r="AM36" s="5"/>
      <c r="AN36" s="6"/>
      <c r="AO36" s="9">
        <f>5+(floor($AC$9/5)*5)</f>
        <v>5</v>
      </c>
      <c r="AP36" s="5"/>
      <c r="AQ36" s="6"/>
      <c r="AR36" s="9">
        <f>SWITCH(Q11,"Large",5,"Huge",10,0)</f>
        <v>0</v>
      </c>
      <c r="AS36" s="5"/>
      <c r="AT36" s="6"/>
      <c r="AU36" s="1"/>
      <c r="AV36" s="1"/>
      <c r="AW36" s="42" t="s">
        <v>74</v>
      </c>
      <c r="BD36" s="20" t="s">
        <v>64</v>
      </c>
      <c r="BF36" s="26">
        <f>BI36+BL36+BO36</f>
        <v>0</v>
      </c>
      <c r="BG36" s="5"/>
      <c r="BH36" s="6"/>
      <c r="BI36" s="9">
        <f>VLookup(BD36,AbilityScores,9,false)</f>
        <v>0</v>
      </c>
      <c r="BJ36" s="5"/>
      <c r="BK36" s="6"/>
      <c r="BL36" s="9">
        <f>IF(BR36="Yes",$AC$9,0)</f>
        <v>0</v>
      </c>
      <c r="BM36" s="5"/>
      <c r="BN36" s="6"/>
      <c r="BO36" s="14"/>
      <c r="BP36" s="5"/>
      <c r="BQ36" s="6"/>
      <c r="BR36" s="14" t="s">
        <v>13</v>
      </c>
      <c r="BS36" s="5"/>
      <c r="BT36" s="5"/>
      <c r="BU36" s="6"/>
      <c r="BV36" s="1"/>
      <c r="BW36" s="1"/>
      <c r="BZ36" s="11"/>
      <c r="CA36" s="12"/>
      <c r="CB36" s="13"/>
      <c r="CC36" s="11"/>
      <c r="CD36" s="12"/>
      <c r="CE36" s="13"/>
      <c r="CF36" s="11"/>
      <c r="CG36" s="12"/>
      <c r="CH36" s="13"/>
      <c r="CI36" s="11"/>
      <c r="CJ36" s="12"/>
      <c r="CK36" s="13"/>
      <c r="CL36" s="11"/>
      <c r="CM36" s="12"/>
      <c r="CN36" s="13"/>
      <c r="CO36" s="1"/>
      <c r="CP36" s="1"/>
    </row>
    <row r="37" ht="11.25" customHeight="1">
      <c r="A37" s="1"/>
      <c r="B37" s="1"/>
      <c r="C37" s="1"/>
      <c r="D37" s="1"/>
      <c r="E37" s="1"/>
      <c r="F37" s="1"/>
      <c r="G37" s="1"/>
      <c r="H37" s="20" t="s">
        <v>21</v>
      </c>
      <c r="K37" s="20" t="s">
        <v>75</v>
      </c>
      <c r="O37" s="1"/>
      <c r="P37" s="1"/>
      <c r="Q37" s="1"/>
      <c r="R37" s="1"/>
      <c r="S37" s="1"/>
      <c r="T37" s="1"/>
      <c r="U37" s="1"/>
      <c r="V37" s="1"/>
      <c r="W37" s="20" t="s">
        <v>21</v>
      </c>
      <c r="Z37" s="20" t="s">
        <v>75</v>
      </c>
      <c r="AD37" s="1"/>
      <c r="AE37" s="1"/>
      <c r="AL37" s="11"/>
      <c r="AM37" s="12"/>
      <c r="AN37" s="13"/>
      <c r="AO37" s="11"/>
      <c r="AP37" s="12"/>
      <c r="AQ37" s="13"/>
      <c r="AR37" s="11"/>
      <c r="AS37" s="12"/>
      <c r="AT37" s="13"/>
      <c r="AU37" s="1"/>
      <c r="AV37" s="1"/>
      <c r="BF37" s="11"/>
      <c r="BG37" s="12"/>
      <c r="BH37" s="13"/>
      <c r="BI37" s="11"/>
      <c r="BJ37" s="12"/>
      <c r="BK37" s="13"/>
      <c r="BL37" s="11"/>
      <c r="BM37" s="12"/>
      <c r="BN37" s="13"/>
      <c r="BO37" s="11"/>
      <c r="BP37" s="12"/>
      <c r="BQ37" s="13"/>
      <c r="BR37" s="11"/>
      <c r="BS37" s="12"/>
      <c r="BT37" s="12"/>
      <c r="BU37" s="13"/>
      <c r="BV37" s="1"/>
      <c r="BW37" s="1"/>
      <c r="BX37" s="18">
        <v>2.0</v>
      </c>
      <c r="BZ37" s="26">
        <f>(CF37+CC37)*IF($CD$29&gt;=$BX$35,1,0)</f>
        <v>0</v>
      </c>
      <c r="CA37" s="5"/>
      <c r="CB37" s="6"/>
      <c r="CC37" s="9">
        <f>floor(($CH$29+2)/4)*IF($CD$29&gt;=BX37,1,0)</f>
        <v>0</v>
      </c>
      <c r="CD37" s="5"/>
      <c r="CE37" s="6"/>
      <c r="CF37" s="9">
        <f>min(5,1+floor($AC$9/2))*IF(max($CD$29,$CD$31)&gt;=BX37,1,0)</f>
        <v>0</v>
      </c>
      <c r="CG37" s="5"/>
      <c r="CH37" s="6"/>
      <c r="CI37" s="26">
        <f>(CF37+CL37)*IF($CD$31&gt;=$BX$35,1,0)</f>
        <v>0</v>
      </c>
      <c r="CJ37" s="5"/>
      <c r="CK37" s="6"/>
      <c r="CL37" s="9">
        <f>floor(($CH$31+2)/4)*IF($CD$31&gt;=$BX$35,1,0)</f>
        <v>0</v>
      </c>
      <c r="CM37" s="5"/>
      <c r="CN37" s="6"/>
      <c r="CO37" s="1"/>
      <c r="CP37" s="1"/>
    </row>
    <row r="38" ht="11.25" customHeight="1">
      <c r="A38" s="1"/>
      <c r="B38" s="1"/>
      <c r="C38" s="8" t="s">
        <v>76</v>
      </c>
      <c r="H38" s="45">
        <f>VLOOKUP(K38,AbilityScores,9,false)</f>
        <v>0</v>
      </c>
      <c r="I38" s="5"/>
      <c r="J38" s="6"/>
      <c r="K38" s="46" t="s">
        <v>35</v>
      </c>
      <c r="L38" s="5"/>
      <c r="M38" s="5"/>
      <c r="N38" s="6"/>
      <c r="O38" s="1"/>
      <c r="P38" s="1"/>
      <c r="Q38" s="1"/>
      <c r="R38" s="8" t="s">
        <v>26</v>
      </c>
      <c r="W38" s="45">
        <f>VLOOKUP(Z38,AbilityScores,9,false)</f>
        <v>0</v>
      </c>
      <c r="X38" s="5"/>
      <c r="Y38" s="6"/>
      <c r="Z38" s="46" t="s">
        <v>48</v>
      </c>
      <c r="AA38" s="5"/>
      <c r="AB38" s="5"/>
      <c r="AC38" s="6"/>
      <c r="AD38" s="1"/>
      <c r="AE38" s="1"/>
      <c r="AF38" s="18" t="s">
        <v>77</v>
      </c>
      <c r="AL38" s="26">
        <f>25+(floor($AC$9/2)*5)</f>
        <v>25</v>
      </c>
      <c r="AM38" s="5"/>
      <c r="AN38" s="6"/>
      <c r="AO38" s="1"/>
      <c r="AP38" s="1"/>
      <c r="AQ38" s="16" t="s">
        <v>78</v>
      </c>
      <c r="AT38" s="1"/>
      <c r="AU38" s="1"/>
      <c r="AV38" s="1"/>
      <c r="AW38" s="43" t="s">
        <v>79</v>
      </c>
      <c r="BD38" s="20" t="s">
        <v>64</v>
      </c>
      <c r="BF38" s="26">
        <f>BI38+BL38+BO38</f>
        <v>0</v>
      </c>
      <c r="BG38" s="5"/>
      <c r="BH38" s="6"/>
      <c r="BI38" s="9">
        <f>VLookup(BD38,AbilityScores,9,false)</f>
        <v>0</v>
      </c>
      <c r="BJ38" s="5"/>
      <c r="BK38" s="6"/>
      <c r="BL38" s="9">
        <f>IF(BR38="Yes",$AC$9,0)</f>
        <v>0</v>
      </c>
      <c r="BM38" s="5"/>
      <c r="BN38" s="6"/>
      <c r="BO38" s="14"/>
      <c r="BP38" s="5"/>
      <c r="BQ38" s="6"/>
      <c r="BR38" s="14" t="s">
        <v>13</v>
      </c>
      <c r="BS38" s="5"/>
      <c r="BT38" s="5"/>
      <c r="BU38" s="6"/>
      <c r="BV38" s="1"/>
      <c r="BW38" s="1"/>
      <c r="BZ38" s="11"/>
      <c r="CA38" s="12"/>
      <c r="CB38" s="13"/>
      <c r="CC38" s="11"/>
      <c r="CD38" s="12"/>
      <c r="CE38" s="13"/>
      <c r="CF38" s="11"/>
      <c r="CG38" s="12"/>
      <c r="CH38" s="13"/>
      <c r="CI38" s="11"/>
      <c r="CJ38" s="12"/>
      <c r="CK38" s="13"/>
      <c r="CL38" s="11"/>
      <c r="CM38" s="12"/>
      <c r="CN38" s="13"/>
      <c r="CO38" s="1"/>
      <c r="CP38" s="1"/>
    </row>
    <row r="39" ht="11.25" customHeight="1">
      <c r="A39" s="1"/>
      <c r="B39" s="1"/>
      <c r="H39" s="11"/>
      <c r="I39" s="12"/>
      <c r="J39" s="13"/>
      <c r="K39" s="12"/>
      <c r="L39" s="12"/>
      <c r="M39" s="12"/>
      <c r="N39" s="13"/>
      <c r="O39" s="1"/>
      <c r="P39" s="1"/>
      <c r="Q39" s="1"/>
      <c r="W39" s="11"/>
      <c r="X39" s="12"/>
      <c r="Y39" s="13"/>
      <c r="Z39" s="12"/>
      <c r="AA39" s="12"/>
      <c r="AB39" s="12"/>
      <c r="AC39" s="13"/>
      <c r="AD39" s="1"/>
      <c r="AE39" s="1"/>
      <c r="AL39" s="11"/>
      <c r="AM39" s="12"/>
      <c r="AN39" s="13"/>
      <c r="AO39" s="1"/>
      <c r="AP39" s="1"/>
      <c r="AQ39" s="16" t="s">
        <v>80</v>
      </c>
      <c r="AT39" s="1"/>
      <c r="AU39" s="1"/>
      <c r="AV39" s="1"/>
      <c r="BF39" s="11"/>
      <c r="BG39" s="12"/>
      <c r="BH39" s="13"/>
      <c r="BI39" s="11"/>
      <c r="BJ39" s="12"/>
      <c r="BK39" s="13"/>
      <c r="BL39" s="11"/>
      <c r="BM39" s="12"/>
      <c r="BN39" s="13"/>
      <c r="BO39" s="11"/>
      <c r="BP39" s="12"/>
      <c r="BQ39" s="13"/>
      <c r="BR39" s="11"/>
      <c r="BS39" s="12"/>
      <c r="BT39" s="12"/>
      <c r="BU39" s="13"/>
      <c r="BV39" s="1"/>
      <c r="BW39" s="1"/>
      <c r="BX39" s="18">
        <v>3.0</v>
      </c>
      <c r="BZ39" s="26">
        <f>(CF39+CC39)*IF($CD$29&gt;=$BX$35,1,0)</f>
        <v>0</v>
      </c>
      <c r="CA39" s="5"/>
      <c r="CB39" s="6"/>
      <c r="CC39" s="9">
        <f>floor(($CH$29+1)/4)*IF($CD$29&gt;=BX39,1,0)</f>
        <v>0</v>
      </c>
      <c r="CD39" s="5"/>
      <c r="CE39" s="6"/>
      <c r="CF39" s="9">
        <f>min(5,floor(-0.5+($AC$9/2)))*IF(max($CD$29,$CD$31)&gt;=BX39,1,0)</f>
        <v>0</v>
      </c>
      <c r="CG39" s="5"/>
      <c r="CH39" s="6"/>
      <c r="CI39" s="26">
        <f>(CF39+CL39)*IF($CD$31&gt;=$BX$35,1,0)</f>
        <v>0</v>
      </c>
      <c r="CJ39" s="5"/>
      <c r="CK39" s="6"/>
      <c r="CL39" s="9">
        <f>floor(($CH$31+1)/4)*IF($CD$31&gt;=$BX$35,1,0)</f>
        <v>0</v>
      </c>
      <c r="CM39" s="5"/>
      <c r="CN39" s="6"/>
      <c r="CO39" s="1"/>
      <c r="CP39" s="1"/>
    </row>
    <row r="40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8" t="s">
        <v>4</v>
      </c>
      <c r="AL40" s="26">
        <f>100+(10*$AC$9)</f>
        <v>110</v>
      </c>
      <c r="AM40" s="5"/>
      <c r="AN40" s="6"/>
      <c r="AO40" s="1"/>
      <c r="AP40" s="14"/>
      <c r="AQ40" s="5"/>
      <c r="AR40" s="5"/>
      <c r="AS40" s="5"/>
      <c r="AT40" s="6"/>
      <c r="AU40" s="1"/>
      <c r="AV40" s="1"/>
      <c r="AW40" s="42" t="s">
        <v>81</v>
      </c>
      <c r="BD40" s="20" t="s">
        <v>64</v>
      </c>
      <c r="BF40" s="26">
        <f>BI40+BL40+BO40</f>
        <v>0</v>
      </c>
      <c r="BG40" s="5"/>
      <c r="BH40" s="6"/>
      <c r="BI40" s="9">
        <f>VLookup(BD40,AbilityScores,9,false)</f>
        <v>0</v>
      </c>
      <c r="BJ40" s="5"/>
      <c r="BK40" s="6"/>
      <c r="BL40" s="9">
        <f>IF(BR40="Yes",$AC$9,0)</f>
        <v>0</v>
      </c>
      <c r="BM40" s="5"/>
      <c r="BN40" s="6"/>
      <c r="BO40" s="14"/>
      <c r="BP40" s="5"/>
      <c r="BQ40" s="6"/>
      <c r="BR40" s="14" t="s">
        <v>13</v>
      </c>
      <c r="BS40" s="5"/>
      <c r="BT40" s="5"/>
      <c r="BU40" s="6"/>
      <c r="BV40" s="1"/>
      <c r="BW40" s="1"/>
      <c r="BZ40" s="11"/>
      <c r="CA40" s="12"/>
      <c r="CB40" s="13"/>
      <c r="CC40" s="11"/>
      <c r="CD40" s="12"/>
      <c r="CE40" s="13"/>
      <c r="CF40" s="11"/>
      <c r="CG40" s="12"/>
      <c r="CH40" s="13"/>
      <c r="CI40" s="11"/>
      <c r="CJ40" s="12"/>
      <c r="CK40" s="13"/>
      <c r="CL40" s="11"/>
      <c r="CM40" s="12"/>
      <c r="CN40" s="13"/>
      <c r="CO40" s="1"/>
      <c r="CP40" s="1"/>
    </row>
    <row r="41" ht="1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20" t="s">
        <v>82</v>
      </c>
      <c r="O41" s="1"/>
      <c r="P41" s="20" t="s">
        <v>83</v>
      </c>
      <c r="T41" s="17"/>
      <c r="U41" s="20" t="s">
        <v>84</v>
      </c>
      <c r="Y41" s="17"/>
      <c r="Z41" s="20" t="s">
        <v>85</v>
      </c>
      <c r="AD41" s="1"/>
      <c r="AE41" s="1"/>
      <c r="AL41" s="11"/>
      <c r="AM41" s="12"/>
      <c r="AN41" s="13"/>
      <c r="AO41" s="1"/>
      <c r="AP41" s="11"/>
      <c r="AQ41" s="12"/>
      <c r="AR41" s="12"/>
      <c r="AS41" s="12"/>
      <c r="AT41" s="13"/>
      <c r="AU41" s="1"/>
      <c r="AV41" s="1"/>
      <c r="BF41" s="11"/>
      <c r="BG41" s="12"/>
      <c r="BH41" s="13"/>
      <c r="BI41" s="11"/>
      <c r="BJ41" s="12"/>
      <c r="BK41" s="13"/>
      <c r="BL41" s="11"/>
      <c r="BM41" s="12"/>
      <c r="BN41" s="13"/>
      <c r="BO41" s="11"/>
      <c r="BP41" s="12"/>
      <c r="BQ41" s="13"/>
      <c r="BR41" s="11"/>
      <c r="BS41" s="12"/>
      <c r="BT41" s="12"/>
      <c r="BU41" s="13"/>
      <c r="BV41" s="1"/>
      <c r="BW41" s="1"/>
      <c r="BX41" s="18">
        <v>4.0</v>
      </c>
      <c r="BZ41" s="26">
        <f>(CF41+CC41)*IF($CD$29&gt;=$BX$35,1,0)</f>
        <v>0</v>
      </c>
      <c r="CA41" s="5"/>
      <c r="CB41" s="6"/>
      <c r="CC41" s="9">
        <f>floor(($CH$29)/4)*IF($CD$29&gt;=BX41,1,0)</f>
        <v>0</v>
      </c>
      <c r="CD41" s="5"/>
      <c r="CE41" s="6"/>
      <c r="CF41" s="9">
        <f>min(5,floor(-2+($AC$9/2)))*IF(max($CD$29,$CD$31)&gt;=BX41,1,0)</f>
        <v>0</v>
      </c>
      <c r="CG41" s="5"/>
      <c r="CH41" s="6"/>
      <c r="CI41" s="26">
        <f>(CF41+CL41)*IF($CD$31&gt;=$BX$35,1,0)</f>
        <v>0</v>
      </c>
      <c r="CJ41" s="5"/>
      <c r="CK41" s="6"/>
      <c r="CL41" s="21">
        <f>floor(($CH$31)/4)*IF($CD$31&gt;=$BX$35,1,0)</f>
        <v>0</v>
      </c>
      <c r="CM41" s="5"/>
      <c r="CN41" s="6"/>
      <c r="CO41" s="1"/>
      <c r="CP41" s="1"/>
    </row>
    <row r="42" ht="11.25" customHeight="1">
      <c r="A42" s="41" t="str">
        <f>K42</f>
        <v>STR</v>
      </c>
      <c r="B42" s="41">
        <f>K44</f>
        <v>0</v>
      </c>
      <c r="C42" s="8" t="s">
        <v>86</v>
      </c>
      <c r="J42" s="47"/>
      <c r="K42" s="38" t="s">
        <v>35</v>
      </c>
      <c r="L42" s="5"/>
      <c r="M42" s="5"/>
      <c r="N42" s="6"/>
      <c r="O42" s="1"/>
      <c r="P42" s="38" t="s">
        <v>45</v>
      </c>
      <c r="Q42" s="5"/>
      <c r="R42" s="5"/>
      <c r="S42" s="6"/>
      <c r="T42" s="1"/>
      <c r="U42" s="38" t="s">
        <v>48</v>
      </c>
      <c r="V42" s="5"/>
      <c r="W42" s="5"/>
      <c r="X42" s="6"/>
      <c r="Y42" s="1"/>
      <c r="Z42" s="38" t="s">
        <v>53</v>
      </c>
      <c r="AA42" s="5"/>
      <c r="AB42" s="5"/>
      <c r="AC42" s="6"/>
      <c r="AD42" s="1"/>
      <c r="AE42" s="1"/>
      <c r="AF42" s="18" t="s">
        <v>87</v>
      </c>
      <c r="AL42" s="26">
        <f>400+(40*$AC$9)</f>
        <v>440</v>
      </c>
      <c r="AM42" s="5"/>
      <c r="AN42" s="6"/>
      <c r="AO42" s="1"/>
      <c r="AP42" s="48"/>
      <c r="AQ42" s="5"/>
      <c r="AR42" s="5"/>
      <c r="AS42" s="5"/>
      <c r="AT42" s="6"/>
      <c r="AU42" s="1"/>
      <c r="AV42" s="1"/>
      <c r="AW42" s="43" t="s">
        <v>88</v>
      </c>
      <c r="BD42" s="20" t="s">
        <v>64</v>
      </c>
      <c r="BF42" s="26">
        <f>BI42+BL42+BO42</f>
        <v>0</v>
      </c>
      <c r="BG42" s="5"/>
      <c r="BH42" s="6"/>
      <c r="BI42" s="9">
        <f>VLookup(BD42,AbilityScores,9,false)</f>
        <v>0</v>
      </c>
      <c r="BJ42" s="5"/>
      <c r="BK42" s="6"/>
      <c r="BL42" s="9">
        <f>IF(BR42="Yes",$AC$9,0)</f>
        <v>0</v>
      </c>
      <c r="BM42" s="5"/>
      <c r="BN42" s="6"/>
      <c r="BO42" s="14"/>
      <c r="BP42" s="5"/>
      <c r="BQ42" s="6"/>
      <c r="BR42" s="14" t="s">
        <v>13</v>
      </c>
      <c r="BS42" s="5"/>
      <c r="BT42" s="5"/>
      <c r="BU42" s="6"/>
      <c r="BV42" s="1"/>
      <c r="BW42" s="1"/>
      <c r="BZ42" s="11"/>
      <c r="CA42" s="12"/>
      <c r="CB42" s="13"/>
      <c r="CC42" s="11"/>
      <c r="CD42" s="12"/>
      <c r="CE42" s="13"/>
      <c r="CF42" s="11"/>
      <c r="CG42" s="12"/>
      <c r="CH42" s="13"/>
      <c r="CI42" s="11"/>
      <c r="CJ42" s="12"/>
      <c r="CK42" s="13"/>
      <c r="CL42" s="11"/>
      <c r="CM42" s="12"/>
      <c r="CN42" s="13"/>
      <c r="CO42" s="1"/>
      <c r="CP42" s="1"/>
    </row>
    <row r="43" ht="11.25" customHeight="1">
      <c r="A43" s="41" t="str">
        <f>P42</f>
        <v>DEX</v>
      </c>
      <c r="B43" s="41">
        <f>P44</f>
        <v>0</v>
      </c>
      <c r="J43" s="47"/>
      <c r="K43" s="11"/>
      <c r="L43" s="12"/>
      <c r="M43" s="12"/>
      <c r="N43" s="13"/>
      <c r="O43" s="1"/>
      <c r="P43" s="11"/>
      <c r="Q43" s="12"/>
      <c r="R43" s="12"/>
      <c r="S43" s="13"/>
      <c r="T43" s="1"/>
      <c r="U43" s="11"/>
      <c r="V43" s="12"/>
      <c r="W43" s="12"/>
      <c r="X43" s="13"/>
      <c r="Y43" s="1"/>
      <c r="Z43" s="11"/>
      <c r="AA43" s="12"/>
      <c r="AB43" s="12"/>
      <c r="AC43" s="13"/>
      <c r="AD43" s="1"/>
      <c r="AE43" s="1"/>
      <c r="AL43" s="11"/>
      <c r="AM43" s="12"/>
      <c r="AN43" s="13"/>
      <c r="AO43" s="1"/>
      <c r="AP43" s="11"/>
      <c r="AQ43" s="12"/>
      <c r="AR43" s="12"/>
      <c r="AS43" s="12"/>
      <c r="AT43" s="13"/>
      <c r="AU43" s="1"/>
      <c r="AV43" s="1"/>
      <c r="BF43" s="11"/>
      <c r="BG43" s="12"/>
      <c r="BH43" s="13"/>
      <c r="BI43" s="11"/>
      <c r="BJ43" s="12"/>
      <c r="BK43" s="13"/>
      <c r="BL43" s="11"/>
      <c r="BM43" s="12"/>
      <c r="BN43" s="13"/>
      <c r="BO43" s="11"/>
      <c r="BP43" s="12"/>
      <c r="BQ43" s="13"/>
      <c r="BR43" s="11"/>
      <c r="BS43" s="12"/>
      <c r="BT43" s="12"/>
      <c r="BU43" s="13"/>
      <c r="BV43" s="1"/>
      <c r="BW43" s="1"/>
      <c r="BX43" s="18">
        <v>5.0</v>
      </c>
      <c r="BZ43" s="26">
        <f>(CF43+CC43)*IF($CD$29&gt;=$BX$35,1,0)</f>
        <v>0</v>
      </c>
      <c r="CA43" s="5"/>
      <c r="CB43" s="6"/>
      <c r="CC43" s="9">
        <f>max(0,floor(($CH$29-1)/4)*IF($CD$29&gt;=BX43,1,0))</f>
        <v>0</v>
      </c>
      <c r="CD43" s="5"/>
      <c r="CE43" s="6"/>
      <c r="CF43" s="9">
        <f>min(5,floor(-3.5+($AC$9/2)))*IF(max($CD$29,$CD$31)&gt;=BX43,1,0)</f>
        <v>0</v>
      </c>
      <c r="CG43" s="5"/>
      <c r="CH43" s="6"/>
      <c r="CI43" s="26">
        <f>(CF43+CL43)*IF($CD$31&gt;=$BX$35,1,0)</f>
        <v>0</v>
      </c>
      <c r="CJ43" s="5"/>
      <c r="CK43" s="6"/>
      <c r="CL43" s="36">
        <f>max(0,floor(($CH$31-1)/4)*IF($CD$31&gt;=$BX$35,1,0))</f>
        <v>0</v>
      </c>
      <c r="CN43" s="34"/>
      <c r="CO43" s="1"/>
      <c r="CP43" s="1"/>
    </row>
    <row r="44" ht="11.25" customHeight="1">
      <c r="A44" s="41" t="str">
        <f>U42</f>
        <v>CON</v>
      </c>
      <c r="B44" s="41">
        <f>U44</f>
        <v>0</v>
      </c>
      <c r="C44" s="1"/>
      <c r="D44" s="1"/>
      <c r="E44" s="1"/>
      <c r="F44" s="1"/>
      <c r="G44" s="1"/>
      <c r="H44" s="1"/>
      <c r="I44" s="1"/>
      <c r="J44" s="1"/>
      <c r="K44" s="49">
        <f>floor((AC9+3)/5,1)*2
</f>
        <v>0</v>
      </c>
      <c r="L44" s="5"/>
      <c r="M44" s="5"/>
      <c r="N44" s="6"/>
      <c r="O44" s="1"/>
      <c r="P44" s="49">
        <f>floor((AC9-1)/4,1)*2</f>
        <v>0</v>
      </c>
      <c r="Q44" s="5"/>
      <c r="R44" s="5"/>
      <c r="S44" s="6"/>
      <c r="T44" s="1"/>
      <c r="U44" s="49">
        <f>floor((AC9-1)/6,1)*2</f>
        <v>0</v>
      </c>
      <c r="V44" s="5"/>
      <c r="W44" s="5"/>
      <c r="X44" s="6"/>
      <c r="Y44" s="1"/>
      <c r="Z44" s="49">
        <f>max(0,(floor(AC9/5)-1)*2)</f>
        <v>0</v>
      </c>
      <c r="AA44" s="5"/>
      <c r="AB44" s="5"/>
      <c r="AC44" s="6"/>
      <c r="AD44" s="1"/>
      <c r="AE44" s="1"/>
      <c r="AF44" s="18" t="s">
        <v>89</v>
      </c>
      <c r="AL44" s="26">
        <f>1000+(100*$AC$9)</f>
        <v>1100</v>
      </c>
      <c r="AM44" s="5"/>
      <c r="AN44" s="6"/>
      <c r="AO44" s="1"/>
      <c r="AP44" s="14"/>
      <c r="AQ44" s="5"/>
      <c r="AR44" s="5"/>
      <c r="AS44" s="5"/>
      <c r="AT44" s="6"/>
      <c r="AU44" s="1"/>
      <c r="AV44" s="1"/>
      <c r="AW44" s="20" t="s">
        <v>90</v>
      </c>
      <c r="BD44" s="17"/>
      <c r="BE44" s="17"/>
      <c r="BF44" s="20" t="s">
        <v>29</v>
      </c>
      <c r="BI44" s="20" t="s">
        <v>30</v>
      </c>
      <c r="BL44" s="20" t="s">
        <v>31</v>
      </c>
      <c r="BO44" s="20" t="s">
        <v>24</v>
      </c>
      <c r="BR44" s="20" t="s">
        <v>32</v>
      </c>
      <c r="BV44" s="1"/>
      <c r="BW44" s="1"/>
      <c r="BZ44" s="11"/>
      <c r="CA44" s="12"/>
      <c r="CB44" s="13"/>
      <c r="CC44" s="11"/>
      <c r="CD44" s="12"/>
      <c r="CE44" s="13"/>
      <c r="CF44" s="11"/>
      <c r="CG44" s="12"/>
      <c r="CH44" s="13"/>
      <c r="CI44" s="11"/>
      <c r="CJ44" s="12"/>
      <c r="CK44" s="13"/>
      <c r="CL44" s="11"/>
      <c r="CM44" s="12"/>
      <c r="CN44" s="13"/>
      <c r="CO44" s="1"/>
      <c r="CP44" s="1"/>
    </row>
    <row r="45" ht="11.25" customHeight="1">
      <c r="A45" s="41" t="str">
        <f>Z42</f>
        <v>INT</v>
      </c>
      <c r="B45" s="41">
        <f>Z44</f>
        <v>0</v>
      </c>
      <c r="C45" s="1"/>
      <c r="D45" s="1"/>
      <c r="E45" s="1"/>
      <c r="F45" s="1"/>
      <c r="G45" s="1"/>
      <c r="H45" s="1"/>
      <c r="I45" s="1"/>
      <c r="J45" s="1"/>
      <c r="K45" s="11"/>
      <c r="L45" s="12"/>
      <c r="M45" s="12"/>
      <c r="N45" s="13"/>
      <c r="O45" s="1"/>
      <c r="P45" s="11"/>
      <c r="Q45" s="12"/>
      <c r="R45" s="12"/>
      <c r="S45" s="13"/>
      <c r="T45" s="1"/>
      <c r="U45" s="11"/>
      <c r="V45" s="12"/>
      <c r="W45" s="12"/>
      <c r="X45" s="13"/>
      <c r="Y45" s="1"/>
      <c r="Z45" s="11"/>
      <c r="AA45" s="12"/>
      <c r="AB45" s="12"/>
      <c r="AC45" s="13"/>
      <c r="AD45" s="1"/>
      <c r="AE45" s="1"/>
      <c r="AL45" s="11"/>
      <c r="AM45" s="12"/>
      <c r="AN45" s="13"/>
      <c r="AO45" s="1"/>
      <c r="AP45" s="11"/>
      <c r="AQ45" s="12"/>
      <c r="AR45" s="12"/>
      <c r="AS45" s="12"/>
      <c r="AT45" s="13"/>
      <c r="AU45" s="1"/>
      <c r="AV45" s="1"/>
      <c r="AW45" s="18" t="s">
        <v>91</v>
      </c>
      <c r="BD45" s="20" t="s">
        <v>92</v>
      </c>
      <c r="BF45" s="26">
        <f>BI45+BL45+BO45</f>
        <v>0</v>
      </c>
      <c r="BG45" s="5"/>
      <c r="BH45" s="6"/>
      <c r="BI45" s="9">
        <f>VLookup(BD45,AbilityScores,9,false)</f>
        <v>0</v>
      </c>
      <c r="BJ45" s="5"/>
      <c r="BK45" s="6"/>
      <c r="BL45" s="9">
        <f>IF(BR45="Yes",$AC$9,0)</f>
        <v>0</v>
      </c>
      <c r="BM45" s="5"/>
      <c r="BN45" s="6"/>
      <c r="BO45" s="14"/>
      <c r="BP45" s="5"/>
      <c r="BQ45" s="6"/>
      <c r="BR45" s="14" t="s">
        <v>13</v>
      </c>
      <c r="BS45" s="5"/>
      <c r="BT45" s="5"/>
      <c r="BU45" s="6"/>
      <c r="BV45" s="1"/>
      <c r="BW45" s="1"/>
      <c r="BX45" s="18">
        <v>6.0</v>
      </c>
      <c r="BZ45" s="26">
        <f>(CF45+CC45)*IF($CD$29&gt;=$BX$35,1,0)</f>
        <v>0</v>
      </c>
      <c r="CA45" s="5"/>
      <c r="CB45" s="6"/>
      <c r="CC45" s="9">
        <f>max(0,floor(($CH$29-2)/4)*IF($CD$29&gt;=BX45,1,0))</f>
        <v>0</v>
      </c>
      <c r="CD45" s="5"/>
      <c r="CE45" s="6"/>
      <c r="CF45" s="9">
        <f>min(5,floor(-5+($AC$9/2)))*IF(max($CD$29,$CD$31)&gt;=BX45,1,0)</f>
        <v>0</v>
      </c>
      <c r="CG45" s="5"/>
      <c r="CH45" s="6"/>
      <c r="CI45" s="26">
        <f>(CF45+CL45)*IF($CD$31&gt;=$BX$35,1,0)</f>
        <v>0</v>
      </c>
      <c r="CJ45" s="5"/>
      <c r="CK45" s="6"/>
      <c r="CL45" s="21">
        <f>max(0,floor(($CH$31-2)/4)*IF($CD$31&gt;=$BX$35,1,0))</f>
        <v>0</v>
      </c>
      <c r="CM45" s="5"/>
      <c r="CN45" s="6"/>
      <c r="CO45" s="1"/>
      <c r="CP45" s="1"/>
    </row>
    <row r="46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BF46" s="11"/>
      <c r="BG46" s="12"/>
      <c r="BH46" s="13"/>
      <c r="BI46" s="11"/>
      <c r="BJ46" s="12"/>
      <c r="BK46" s="13"/>
      <c r="BL46" s="11"/>
      <c r="BM46" s="12"/>
      <c r="BN46" s="13"/>
      <c r="BO46" s="11"/>
      <c r="BP46" s="12"/>
      <c r="BQ46" s="13"/>
      <c r="BR46" s="11"/>
      <c r="BS46" s="12"/>
      <c r="BT46" s="12"/>
      <c r="BU46" s="13"/>
      <c r="BV46" s="1"/>
      <c r="BW46" s="1"/>
      <c r="BZ46" s="11"/>
      <c r="CA46" s="12"/>
      <c r="CB46" s="13"/>
      <c r="CC46" s="11"/>
      <c r="CD46" s="12"/>
      <c r="CE46" s="13"/>
      <c r="CF46" s="11"/>
      <c r="CG46" s="12"/>
      <c r="CH46" s="13"/>
      <c r="CI46" s="11"/>
      <c r="CJ46" s="12"/>
      <c r="CK46" s="13"/>
      <c r="CL46" s="11"/>
      <c r="CM46" s="12"/>
      <c r="CN46" s="13"/>
      <c r="CO46" s="1"/>
      <c r="CP46" s="1"/>
    </row>
    <row r="47" ht="11.25" customHeight="1">
      <c r="A47" s="1"/>
      <c r="B47" s="1"/>
      <c r="C47" s="4" t="s">
        <v>93</v>
      </c>
      <c r="D47" s="5"/>
      <c r="E47" s="5"/>
      <c r="F47" s="5"/>
      <c r="G47" s="6"/>
      <c r="H47" s="45">
        <f>if(K47="Good",AC9,floor(AC9*3/4))</f>
        <v>1</v>
      </c>
      <c r="I47" s="5"/>
      <c r="J47" s="6"/>
      <c r="K47" s="14" t="s">
        <v>94</v>
      </c>
      <c r="L47" s="5"/>
      <c r="M47" s="5"/>
      <c r="N47" s="6"/>
      <c r="O47" s="1"/>
      <c r="P47" s="9" t="str">
        <f>CONCATENATE(H47,If(H47&gt;5,CONCATENATE(" / ",(H47-5)),""),If(H47&gt;10,CONCATENATE(" / ",(H47-5)),""),If(H47&gt;15,CONCATENATE(" / ",(H47-5)),""))</f>
        <v>1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6"/>
      <c r="AD47" s="1"/>
      <c r="AE47" s="1"/>
      <c r="AF47" s="16" t="s">
        <v>95</v>
      </c>
      <c r="AP47" s="1"/>
      <c r="AQ47" s="16" t="s">
        <v>72</v>
      </c>
      <c r="AU47" s="1"/>
      <c r="AV47" s="1"/>
      <c r="AW47" s="18" t="s">
        <v>96</v>
      </c>
      <c r="BD47" s="20" t="s">
        <v>92</v>
      </c>
      <c r="BF47" s="26">
        <f>BI47+BL47+BO47</f>
        <v>0</v>
      </c>
      <c r="BG47" s="5"/>
      <c r="BH47" s="6"/>
      <c r="BI47" s="9">
        <f>VLookup(BD47,AbilityScores,9,false)</f>
        <v>0</v>
      </c>
      <c r="BJ47" s="5"/>
      <c r="BK47" s="6"/>
      <c r="BL47" s="9">
        <f>IF(BR47="Yes",$AC$9,0)</f>
        <v>0</v>
      </c>
      <c r="BM47" s="5"/>
      <c r="BN47" s="6"/>
      <c r="BO47" s="14"/>
      <c r="BP47" s="5"/>
      <c r="BQ47" s="6"/>
      <c r="BR47" s="14" t="s">
        <v>13</v>
      </c>
      <c r="BS47" s="5"/>
      <c r="BT47" s="5"/>
      <c r="BU47" s="6"/>
      <c r="BV47" s="1"/>
      <c r="BW47" s="1"/>
      <c r="BX47" s="18">
        <v>7.0</v>
      </c>
      <c r="BZ47" s="26">
        <f>(CF47+CC47)*IF($CD$29&gt;=$BX$35,1,0)</f>
        <v>0</v>
      </c>
      <c r="CA47" s="5"/>
      <c r="CB47" s="6"/>
      <c r="CC47" s="9">
        <f>max(0,floor(($CH$29-3)/4*IF($CD$29&gt;=BX47,1,0)))</f>
        <v>0</v>
      </c>
      <c r="CD47" s="5"/>
      <c r="CE47" s="6"/>
      <c r="CF47" s="9">
        <f>min(5,floor(-6.5+($AC$9/2)))*IF(max($CD$29,$CD$31)&gt;=BX47,1,0)</f>
        <v>0</v>
      </c>
      <c r="CG47" s="5"/>
      <c r="CH47" s="6"/>
      <c r="CI47" s="26">
        <f>(CF47+CL47)*IF($CD$31&gt;=$BX$35,1,0)</f>
        <v>0</v>
      </c>
      <c r="CJ47" s="5"/>
      <c r="CK47" s="6"/>
      <c r="CL47" s="36">
        <f>max(0,floor(($CH$31-3)/4)*IF($CD$31&gt;=$BX$35,1,0))</f>
        <v>0</v>
      </c>
      <c r="CN47" s="34"/>
      <c r="CO47" s="1"/>
      <c r="CP47" s="1"/>
    </row>
    <row r="48" ht="11.25" customHeight="1">
      <c r="A48" s="1"/>
      <c r="B48" s="1"/>
      <c r="C48" s="11"/>
      <c r="D48" s="12"/>
      <c r="E48" s="12"/>
      <c r="F48" s="12"/>
      <c r="G48" s="13"/>
      <c r="H48" s="11"/>
      <c r="I48" s="12"/>
      <c r="J48" s="13"/>
      <c r="K48" s="11"/>
      <c r="L48" s="12"/>
      <c r="M48" s="12"/>
      <c r="N48" s="13"/>
      <c r="O48" s="1"/>
      <c r="P48" s="11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3"/>
      <c r="AD48" s="1"/>
      <c r="AE48" s="1"/>
      <c r="AF48" s="48"/>
      <c r="AG48" s="5"/>
      <c r="AH48" s="5"/>
      <c r="AI48" s="5"/>
      <c r="AJ48" s="5"/>
      <c r="AK48" s="5"/>
      <c r="AL48" s="5"/>
      <c r="AM48" s="5"/>
      <c r="AN48" s="5"/>
      <c r="AO48" s="6"/>
      <c r="AP48" s="1"/>
      <c r="AQ48" s="48"/>
      <c r="AR48" s="5"/>
      <c r="AS48" s="5"/>
      <c r="AT48" s="6"/>
      <c r="AU48" s="1"/>
      <c r="AV48" s="1"/>
      <c r="BF48" s="11"/>
      <c r="BG48" s="12"/>
      <c r="BH48" s="13"/>
      <c r="BI48" s="11"/>
      <c r="BJ48" s="12"/>
      <c r="BK48" s="13"/>
      <c r="BL48" s="11"/>
      <c r="BM48" s="12"/>
      <c r="BN48" s="13"/>
      <c r="BO48" s="11"/>
      <c r="BP48" s="12"/>
      <c r="BQ48" s="13"/>
      <c r="BR48" s="11"/>
      <c r="BS48" s="12"/>
      <c r="BT48" s="12"/>
      <c r="BU48" s="13"/>
      <c r="BV48" s="1"/>
      <c r="BW48" s="1"/>
      <c r="BZ48" s="11"/>
      <c r="CA48" s="12"/>
      <c r="CB48" s="13"/>
      <c r="CC48" s="11"/>
      <c r="CD48" s="12"/>
      <c r="CE48" s="13"/>
      <c r="CF48" s="11"/>
      <c r="CG48" s="12"/>
      <c r="CH48" s="13"/>
      <c r="CI48" s="11"/>
      <c r="CJ48" s="12"/>
      <c r="CK48" s="13"/>
      <c r="CL48" s="11"/>
      <c r="CM48" s="12"/>
      <c r="CN48" s="13"/>
      <c r="CO48" s="1"/>
      <c r="CP48" s="1"/>
    </row>
    <row r="49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1"/>
      <c r="AG49" s="12"/>
      <c r="AH49" s="12"/>
      <c r="AI49" s="12"/>
      <c r="AJ49" s="12"/>
      <c r="AK49" s="12"/>
      <c r="AL49" s="12"/>
      <c r="AM49" s="12"/>
      <c r="AN49" s="12"/>
      <c r="AO49" s="13"/>
      <c r="AP49" s="1"/>
      <c r="AQ49" s="11"/>
      <c r="AR49" s="12"/>
      <c r="AS49" s="12"/>
      <c r="AT49" s="13"/>
      <c r="AU49" s="1"/>
      <c r="AV49" s="1"/>
      <c r="AW49" s="18" t="s">
        <v>97</v>
      </c>
      <c r="BD49" s="20" t="str">
        <f>IF(COUNTIF(BA58:BA76,"Sinister Sinews"),"Str","Cha")</f>
        <v>Cha</v>
      </c>
      <c r="BF49" s="26">
        <f>BI49+BL49+BO49</f>
        <v>0</v>
      </c>
      <c r="BG49" s="5"/>
      <c r="BH49" s="6"/>
      <c r="BI49" s="9">
        <f>VLookup(BD49,AbilityScores,9,false)</f>
        <v>0</v>
      </c>
      <c r="BJ49" s="5"/>
      <c r="BK49" s="6"/>
      <c r="BL49" s="9">
        <f>IF(BR49="Yes",$AC$9,0)</f>
        <v>0</v>
      </c>
      <c r="BM49" s="5"/>
      <c r="BN49" s="6"/>
      <c r="BO49" s="14"/>
      <c r="BP49" s="5"/>
      <c r="BQ49" s="6"/>
      <c r="BR49" s="14" t="s">
        <v>13</v>
      </c>
      <c r="BS49" s="5"/>
      <c r="BT49" s="5"/>
      <c r="BU49" s="6"/>
      <c r="BV49" s="1"/>
      <c r="BW49" s="1"/>
      <c r="BX49" s="18"/>
      <c r="BY49" s="18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</row>
    <row r="50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8"/>
      <c r="AG50" s="5"/>
      <c r="AH50" s="5"/>
      <c r="AI50" s="5"/>
      <c r="AJ50" s="5"/>
      <c r="AK50" s="5"/>
      <c r="AL50" s="5"/>
      <c r="AM50" s="5"/>
      <c r="AN50" s="5"/>
      <c r="AO50" s="6"/>
      <c r="AP50" s="1"/>
      <c r="AQ50" s="48"/>
      <c r="AR50" s="5"/>
      <c r="AS50" s="5"/>
      <c r="AT50" s="6"/>
      <c r="AU50" s="1"/>
      <c r="AV50" s="1"/>
      <c r="BF50" s="11"/>
      <c r="BG50" s="12"/>
      <c r="BH50" s="13"/>
      <c r="BI50" s="11"/>
      <c r="BJ50" s="12"/>
      <c r="BK50" s="13"/>
      <c r="BL50" s="11"/>
      <c r="BM50" s="12"/>
      <c r="BN50" s="13"/>
      <c r="BO50" s="11"/>
      <c r="BP50" s="12"/>
      <c r="BQ50" s="13"/>
      <c r="BR50" s="11"/>
      <c r="BS50" s="12"/>
      <c r="BT50" s="12"/>
      <c r="BU50" s="13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</row>
    <row r="51" ht="11.25" customHeight="1">
      <c r="A51" s="1"/>
      <c r="B51" s="1"/>
      <c r="C51" s="8" t="s">
        <v>98</v>
      </c>
      <c r="AD51" s="1"/>
      <c r="AE51" s="1"/>
      <c r="AF51" s="11"/>
      <c r="AG51" s="12"/>
      <c r="AH51" s="12"/>
      <c r="AI51" s="12"/>
      <c r="AJ51" s="12"/>
      <c r="AK51" s="12"/>
      <c r="AL51" s="12"/>
      <c r="AM51" s="12"/>
      <c r="AN51" s="12"/>
      <c r="AO51" s="13"/>
      <c r="AP51" s="1"/>
      <c r="AQ51" s="11"/>
      <c r="AR51" s="12"/>
      <c r="AS51" s="12"/>
      <c r="AT51" s="13"/>
      <c r="AU51" s="1"/>
      <c r="AV51" s="1"/>
      <c r="AW51" s="18" t="s">
        <v>99</v>
      </c>
      <c r="BD51" s="20" t="s">
        <v>100</v>
      </c>
      <c r="BF51" s="26">
        <f>BI51+BL51+BO51</f>
        <v>0</v>
      </c>
      <c r="BG51" s="5"/>
      <c r="BH51" s="6"/>
      <c r="BI51" s="9">
        <f>VLookup(BD51,AbilityScores,9,false)</f>
        <v>0</v>
      </c>
      <c r="BJ51" s="5"/>
      <c r="BK51" s="6"/>
      <c r="BL51" s="9">
        <f>IF(BR51="Yes",$AC$9,0)</f>
        <v>0</v>
      </c>
      <c r="BM51" s="5"/>
      <c r="BN51" s="6"/>
      <c r="BO51" s="14"/>
      <c r="BP51" s="5"/>
      <c r="BQ51" s="6"/>
      <c r="BR51" s="14" t="s">
        <v>13</v>
      </c>
      <c r="BS51" s="5"/>
      <c r="BT51" s="5"/>
      <c r="BU51" s="6"/>
      <c r="BV51" s="1"/>
      <c r="BW51" s="1"/>
      <c r="BX51" s="50" t="s">
        <v>101</v>
      </c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6"/>
      <c r="CO51" s="1"/>
      <c r="CP51" s="1"/>
    </row>
    <row r="52" ht="11.25" customHeight="1">
      <c r="A52" s="1"/>
      <c r="B52" s="1"/>
      <c r="AD52" s="1"/>
      <c r="AE52" s="1"/>
      <c r="AF52" s="48"/>
      <c r="AG52" s="5"/>
      <c r="AH52" s="5"/>
      <c r="AI52" s="5"/>
      <c r="AJ52" s="5"/>
      <c r="AK52" s="5"/>
      <c r="AL52" s="5"/>
      <c r="AM52" s="5"/>
      <c r="AN52" s="5"/>
      <c r="AO52" s="6"/>
      <c r="AP52" s="1"/>
      <c r="AQ52" s="48"/>
      <c r="AR52" s="5"/>
      <c r="AS52" s="5"/>
      <c r="AT52" s="6"/>
      <c r="AU52" s="1"/>
      <c r="AV52" s="1"/>
      <c r="BF52" s="11"/>
      <c r="BG52" s="12"/>
      <c r="BH52" s="13"/>
      <c r="BI52" s="11"/>
      <c r="BJ52" s="12"/>
      <c r="BK52" s="13"/>
      <c r="BL52" s="11"/>
      <c r="BM52" s="12"/>
      <c r="BN52" s="13"/>
      <c r="BO52" s="11"/>
      <c r="BP52" s="12"/>
      <c r="BQ52" s="13"/>
      <c r="BR52" s="11"/>
      <c r="BS52" s="12"/>
      <c r="BT52" s="12"/>
      <c r="BU52" s="13"/>
      <c r="BV52" s="1"/>
      <c r="BW52" s="1"/>
      <c r="BX52" s="11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3"/>
      <c r="CO52" s="1"/>
      <c r="CP52" s="1"/>
    </row>
    <row r="53" ht="11.25" customHeight="1">
      <c r="A53" s="1"/>
      <c r="B53" s="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1"/>
      <c r="AE53" s="1"/>
      <c r="AF53" s="11"/>
      <c r="AG53" s="12"/>
      <c r="AH53" s="12"/>
      <c r="AI53" s="12"/>
      <c r="AJ53" s="12"/>
      <c r="AK53" s="12"/>
      <c r="AL53" s="12"/>
      <c r="AM53" s="12"/>
      <c r="AN53" s="12"/>
      <c r="AO53" s="13"/>
      <c r="AP53" s="1"/>
      <c r="AQ53" s="11"/>
      <c r="AR53" s="12"/>
      <c r="AS53" s="12"/>
      <c r="AT53" s="13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1"/>
      <c r="CP53" s="1"/>
    </row>
    <row r="54" ht="11.25" customHeight="1">
      <c r="A54" s="1"/>
      <c r="B54" s="1"/>
      <c r="C54" s="16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6" t="s">
        <v>102</v>
      </c>
      <c r="T54" s="16" t="s">
        <v>103</v>
      </c>
      <c r="W54" s="16" t="s">
        <v>24</v>
      </c>
      <c r="Z54" s="2"/>
      <c r="AA54" s="2"/>
      <c r="AB54" s="2"/>
      <c r="AC54" s="2"/>
      <c r="AD54" s="1"/>
      <c r="AE54" s="1"/>
      <c r="AF54" s="48"/>
      <c r="AG54" s="5"/>
      <c r="AH54" s="5"/>
      <c r="AI54" s="5"/>
      <c r="AJ54" s="5"/>
      <c r="AK54" s="5"/>
      <c r="AL54" s="5"/>
      <c r="AM54" s="5"/>
      <c r="AN54" s="5"/>
      <c r="AO54" s="6"/>
      <c r="AP54" s="1"/>
      <c r="AQ54" s="48"/>
      <c r="AR54" s="5"/>
      <c r="AS54" s="5"/>
      <c r="AT54" s="6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52" t="s">
        <v>104</v>
      </c>
      <c r="CJ54" s="53" t="str">
        <f>IF(BL21&gt;=15,"All",IF(BL21&gt;=5,"Hot/Cold","N/A"))</f>
        <v>N/A</v>
      </c>
      <c r="CK54" s="5"/>
      <c r="CL54" s="5"/>
      <c r="CM54" s="5"/>
      <c r="CN54" s="6"/>
      <c r="CO54" s="1"/>
      <c r="CP54" s="1"/>
    </row>
    <row r="55" ht="11.25" customHeight="1">
      <c r="A55" s="1"/>
      <c r="B55" s="1"/>
      <c r="C55" s="4" t="s">
        <v>105</v>
      </c>
      <c r="D55" s="5"/>
      <c r="E55" s="5"/>
      <c r="F55" s="5"/>
      <c r="G55" s="5"/>
      <c r="H55" s="5"/>
      <c r="I55" s="5"/>
      <c r="J55" s="5"/>
      <c r="K55" s="6"/>
      <c r="L55" s="26">
        <f>10+Q55+T55+W55</f>
        <v>10</v>
      </c>
      <c r="M55" s="5"/>
      <c r="N55" s="6"/>
      <c r="O55" s="18">
        <v>10.0</v>
      </c>
      <c r="Q55" s="49">
        <f>floor($AC$9/2)</f>
        <v>0</v>
      </c>
      <c r="R55" s="5"/>
      <c r="S55" s="6"/>
      <c r="T55" s="9">
        <f>max(VLookup("STR",AbilityScores,9,false),VLookup("DEX",AbilityScores,9,false))</f>
        <v>0</v>
      </c>
      <c r="U55" s="5"/>
      <c r="V55" s="6"/>
      <c r="W55" s="48"/>
      <c r="X55" s="5"/>
      <c r="Y55" s="6"/>
      <c r="Z55" s="2"/>
      <c r="AA55" s="2"/>
      <c r="AB55" s="2"/>
      <c r="AC55" s="2"/>
      <c r="AD55" s="1"/>
      <c r="AE55" s="1"/>
      <c r="AF55" s="11"/>
      <c r="AG55" s="12"/>
      <c r="AH55" s="12"/>
      <c r="AI55" s="12"/>
      <c r="AJ55" s="12"/>
      <c r="AK55" s="12"/>
      <c r="AL55" s="12"/>
      <c r="AM55" s="12"/>
      <c r="AN55" s="12"/>
      <c r="AO55" s="13"/>
      <c r="AP55" s="1"/>
      <c r="AQ55" s="11"/>
      <c r="AR55" s="12"/>
      <c r="AS55" s="12"/>
      <c r="AT55" s="13"/>
      <c r="AU55" s="1"/>
      <c r="AV55" s="1"/>
      <c r="AW55" s="8" t="s">
        <v>106</v>
      </c>
      <c r="BV55" s="1"/>
      <c r="BW55" s="1"/>
      <c r="CJ55" s="11"/>
      <c r="CK55" s="12"/>
      <c r="CL55" s="12"/>
      <c r="CM55" s="12"/>
      <c r="CN55" s="13"/>
      <c r="CO55" s="1"/>
      <c r="CP55" s="1"/>
    </row>
    <row r="56" ht="11.25" customHeight="1">
      <c r="A56" s="1"/>
      <c r="B56" s="1"/>
      <c r="C56" s="11"/>
      <c r="D56" s="12"/>
      <c r="E56" s="12"/>
      <c r="F56" s="12"/>
      <c r="G56" s="12"/>
      <c r="H56" s="12"/>
      <c r="I56" s="12"/>
      <c r="J56" s="12"/>
      <c r="K56" s="13"/>
      <c r="L56" s="11"/>
      <c r="M56" s="12"/>
      <c r="N56" s="13"/>
      <c r="Q56" s="11"/>
      <c r="R56" s="12"/>
      <c r="S56" s="13"/>
      <c r="T56" s="11"/>
      <c r="U56" s="12"/>
      <c r="V56" s="13"/>
      <c r="W56" s="11"/>
      <c r="X56" s="12"/>
      <c r="Y56" s="13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BV56" s="1"/>
      <c r="BW56" s="1"/>
      <c r="BX56" s="52" t="s">
        <v>107</v>
      </c>
      <c r="CE56" s="53">
        <f>IF(BL21&gt;=10,H25*10,H25)</f>
        <v>10</v>
      </c>
      <c r="CF56" s="5"/>
      <c r="CG56" s="6"/>
      <c r="CH56" s="52" t="s">
        <v>108</v>
      </c>
      <c r="CL56" s="53">
        <f>IF(BL21&gt;=10,H25,1)</f>
        <v>1</v>
      </c>
      <c r="CM56" s="5"/>
      <c r="CN56" s="6"/>
      <c r="CO56" s="1"/>
      <c r="CP56" s="1"/>
    </row>
    <row r="57" ht="11.25" customHeight="1">
      <c r="A57" s="15"/>
      <c r="B57" s="15"/>
      <c r="C57" s="15"/>
      <c r="D57" s="15"/>
      <c r="E57" s="15"/>
      <c r="F57" s="15"/>
      <c r="G57" s="15"/>
      <c r="H57" s="16"/>
      <c r="I57" s="54" t="s">
        <v>29</v>
      </c>
      <c r="J57" s="12"/>
      <c r="K57" s="12"/>
      <c r="L57" s="54" t="s">
        <v>38</v>
      </c>
      <c r="M57" s="12"/>
      <c r="N57" s="12"/>
      <c r="O57" s="55" t="s">
        <v>24</v>
      </c>
      <c r="P57" s="12"/>
      <c r="Q57" s="12"/>
      <c r="R57" s="15"/>
      <c r="S57" s="15"/>
      <c r="T57" s="1"/>
      <c r="U57" s="1"/>
      <c r="V57" s="1"/>
      <c r="W57" s="1"/>
      <c r="X57" s="1"/>
      <c r="Y57" s="16" t="s">
        <v>29</v>
      </c>
      <c r="AB57" s="1"/>
      <c r="AC57" s="1"/>
      <c r="AD57" s="16" t="s">
        <v>30</v>
      </c>
      <c r="AG57" s="16" t="s">
        <v>8</v>
      </c>
      <c r="AJ57" s="16" t="s">
        <v>24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CE57" s="11"/>
      <c r="CF57" s="12"/>
      <c r="CG57" s="13"/>
      <c r="CL57" s="11"/>
      <c r="CM57" s="12"/>
      <c r="CN57" s="13"/>
      <c r="CO57" s="1"/>
      <c r="CP57" s="1"/>
    </row>
    <row r="58" ht="11.25" customHeight="1">
      <c r="A58" s="1"/>
      <c r="B58" s="1"/>
      <c r="C58" s="4" t="s">
        <v>109</v>
      </c>
      <c r="D58" s="5"/>
      <c r="E58" s="5"/>
      <c r="F58" s="5"/>
      <c r="G58" s="5"/>
      <c r="H58" s="6"/>
      <c r="I58" s="56">
        <f>L58+O58</f>
        <v>0</v>
      </c>
      <c r="K58" s="34"/>
      <c r="L58" s="57">
        <f>VLookup("DEX",AbilityScores,9,false)</f>
        <v>0</v>
      </c>
      <c r="N58" s="34"/>
      <c r="O58" s="14"/>
      <c r="P58" s="5"/>
      <c r="Q58" s="6"/>
      <c r="R58" s="1"/>
      <c r="S58" s="4" t="s">
        <v>110</v>
      </c>
      <c r="T58" s="5"/>
      <c r="U58" s="5"/>
      <c r="V58" s="5"/>
      <c r="W58" s="5"/>
      <c r="X58" s="6"/>
      <c r="Y58" s="26">
        <f>10+AD58+AG58+AJ58</f>
        <v>11</v>
      </c>
      <c r="Z58" s="5"/>
      <c r="AA58" s="6"/>
      <c r="AB58" s="20" t="s">
        <v>100</v>
      </c>
      <c r="AD58" s="9">
        <f>VLookup(AB58,AbilityScores,9,false)</f>
        <v>0</v>
      </c>
      <c r="AE58" s="5"/>
      <c r="AF58" s="6"/>
      <c r="AG58" s="49">
        <f>$AC$9</f>
        <v>1</v>
      </c>
      <c r="AH58" s="5"/>
      <c r="AI58" s="6"/>
      <c r="AJ58" s="48"/>
      <c r="AK58" s="5"/>
      <c r="AL58" s="6"/>
      <c r="AM58" s="1"/>
      <c r="AN58" s="58" t="s">
        <v>111</v>
      </c>
      <c r="AO58" s="5"/>
      <c r="AP58" s="5"/>
      <c r="AQ58" s="5"/>
      <c r="AR58" s="5"/>
      <c r="AS58" s="5"/>
      <c r="AT58" s="5"/>
      <c r="AU58" s="6"/>
      <c r="AV58" s="1"/>
      <c r="AW58" s="18" t="s">
        <v>112</v>
      </c>
      <c r="BA58" s="1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6"/>
      <c r="BV58" s="1"/>
      <c r="BW58" s="1"/>
      <c r="BX58" s="52" t="s">
        <v>113</v>
      </c>
      <c r="CK58" s="59"/>
      <c r="CL58" s="53">
        <f>(sign(BL27)+floor(BL27/5))</f>
        <v>0</v>
      </c>
      <c r="CM58" s="5"/>
      <c r="CN58" s="6"/>
      <c r="CO58" s="1"/>
      <c r="CP58" s="1"/>
    </row>
    <row r="59" ht="11.25" customHeight="1">
      <c r="A59" s="1"/>
      <c r="B59" s="1"/>
      <c r="C59" s="11"/>
      <c r="D59" s="12"/>
      <c r="E59" s="12"/>
      <c r="F59" s="12"/>
      <c r="G59" s="12"/>
      <c r="H59" s="13"/>
      <c r="I59" s="11"/>
      <c r="J59" s="12"/>
      <c r="K59" s="13"/>
      <c r="L59" s="12"/>
      <c r="M59" s="12"/>
      <c r="N59" s="13"/>
      <c r="O59" s="11"/>
      <c r="P59" s="12"/>
      <c r="Q59" s="13"/>
      <c r="R59" s="1"/>
      <c r="S59" s="11"/>
      <c r="T59" s="12"/>
      <c r="U59" s="12"/>
      <c r="V59" s="12"/>
      <c r="W59" s="12"/>
      <c r="X59" s="13"/>
      <c r="Y59" s="11"/>
      <c r="Z59" s="12"/>
      <c r="AA59" s="13"/>
      <c r="AD59" s="11"/>
      <c r="AE59" s="12"/>
      <c r="AF59" s="13"/>
      <c r="AG59" s="11"/>
      <c r="AH59" s="12"/>
      <c r="AI59" s="13"/>
      <c r="AJ59" s="11"/>
      <c r="AK59" s="12"/>
      <c r="AL59" s="13"/>
      <c r="AM59" s="1"/>
      <c r="AN59" s="11"/>
      <c r="AO59" s="12"/>
      <c r="AP59" s="12"/>
      <c r="AQ59" s="12"/>
      <c r="AR59" s="12"/>
      <c r="AS59" s="12"/>
      <c r="AT59" s="12"/>
      <c r="AU59" s="13"/>
      <c r="AV59" s="1"/>
      <c r="BA59" s="11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3"/>
      <c r="BV59" s="1"/>
      <c r="BW59" s="1"/>
      <c r="CK59" s="59"/>
      <c r="CL59" s="11"/>
      <c r="CM59" s="12"/>
      <c r="CN59" s="13"/>
      <c r="CO59" s="1"/>
      <c r="CP59" s="1"/>
    </row>
    <row r="60" ht="11.25" customHeight="1">
      <c r="A60" s="1"/>
      <c r="B60" s="1"/>
      <c r="C60" s="1"/>
      <c r="D60" s="1"/>
      <c r="E60" s="1"/>
      <c r="F60" s="16" t="s">
        <v>29</v>
      </c>
      <c r="I60" s="16" t="s">
        <v>22</v>
      </c>
      <c r="L60" s="16" t="s">
        <v>114</v>
      </c>
      <c r="O60" s="16" t="s">
        <v>24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6" t="s">
        <v>30</v>
      </c>
      <c r="AG60" s="16" t="s">
        <v>93</v>
      </c>
      <c r="AJ60" s="16" t="s">
        <v>24</v>
      </c>
      <c r="AM60" s="1"/>
      <c r="AN60" s="60"/>
      <c r="AO60" s="5"/>
      <c r="AP60" s="5"/>
      <c r="AQ60" s="5"/>
      <c r="AR60" s="5"/>
      <c r="AS60" s="5"/>
      <c r="AT60" s="5"/>
      <c r="AU60" s="6"/>
      <c r="AV60" s="1"/>
      <c r="AW60" s="18" t="s">
        <v>82</v>
      </c>
      <c r="BA60" s="1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6"/>
      <c r="BV60" s="1"/>
      <c r="BW60" s="1"/>
      <c r="BX60" s="53" t="str">
        <f>IF(BL29&gt;=5,"Healing +5","N/A")</f>
        <v>N/A</v>
      </c>
      <c r="BY60" s="5"/>
      <c r="BZ60" s="5"/>
      <c r="CA60" s="5"/>
      <c r="CB60" s="5"/>
      <c r="CC60" s="5"/>
      <c r="CD60" s="5"/>
      <c r="CE60" s="6"/>
      <c r="CF60" s="52"/>
      <c r="CG60" s="53" t="str">
        <f>IF(BL29&gt;=15,"HP Reduction -5","N/A")</f>
        <v>N/A</v>
      </c>
      <c r="CH60" s="5"/>
      <c r="CI60" s="5"/>
      <c r="CJ60" s="5"/>
      <c r="CK60" s="5"/>
      <c r="CL60" s="5"/>
      <c r="CM60" s="5"/>
      <c r="CN60" s="6"/>
      <c r="CO60" s="1"/>
      <c r="CP60" s="1"/>
    </row>
    <row r="61" ht="11.25" customHeight="1">
      <c r="A61" s="1"/>
      <c r="B61" s="1"/>
      <c r="C61" s="4" t="s">
        <v>115</v>
      </c>
      <c r="D61" s="5"/>
      <c r="E61" s="6"/>
      <c r="F61" s="26">
        <f>I61+L61+O61</f>
        <v>2</v>
      </c>
      <c r="G61" s="5"/>
      <c r="H61" s="6"/>
      <c r="I61" s="9">
        <f>if($K$70="Ref+Will",floor($AC$9/2),2+floor($AC$9*2/3))</f>
        <v>2</v>
      </c>
      <c r="J61" s="5"/>
      <c r="K61" s="6"/>
      <c r="L61" s="9">
        <f>max(VLookup("STR",AbilityScores,9,false),VLookup("CON",AbilityScores,9,false))</f>
        <v>0</v>
      </c>
      <c r="M61" s="5"/>
      <c r="N61" s="6"/>
      <c r="O61" s="48"/>
      <c r="P61" s="5"/>
      <c r="Q61" s="6"/>
      <c r="R61" s="1"/>
      <c r="S61" s="8" t="s">
        <v>37</v>
      </c>
      <c r="Y61" s="26">
        <f>10+AD61+AG61+AJ61</f>
        <v>11</v>
      </c>
      <c r="Z61" s="5"/>
      <c r="AA61" s="6"/>
      <c r="AB61" s="20" t="s">
        <v>76</v>
      </c>
      <c r="AD61" s="9">
        <f>$H$38</f>
        <v>0</v>
      </c>
      <c r="AE61" s="5"/>
      <c r="AF61" s="6"/>
      <c r="AG61" s="49">
        <f>$H$47</f>
        <v>1</v>
      </c>
      <c r="AH61" s="5"/>
      <c r="AI61" s="6"/>
      <c r="AJ61" s="48"/>
      <c r="AK61" s="5"/>
      <c r="AL61" s="6"/>
      <c r="AM61" s="1"/>
      <c r="AN61" s="61"/>
      <c r="AU61" s="34"/>
      <c r="AV61" s="1"/>
      <c r="BA61" s="11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3"/>
      <c r="BV61" s="1"/>
      <c r="BW61" s="1"/>
      <c r="BX61" s="11"/>
      <c r="BY61" s="12"/>
      <c r="BZ61" s="12"/>
      <c r="CA61" s="12"/>
      <c r="CB61" s="12"/>
      <c r="CC61" s="12"/>
      <c r="CD61" s="12"/>
      <c r="CE61" s="13"/>
      <c r="CF61" s="52"/>
      <c r="CG61" s="11"/>
      <c r="CH61" s="12"/>
      <c r="CI61" s="12"/>
      <c r="CJ61" s="12"/>
      <c r="CK61" s="12"/>
      <c r="CL61" s="12"/>
      <c r="CM61" s="12"/>
      <c r="CN61" s="13"/>
      <c r="CO61" s="1"/>
      <c r="CP61" s="1"/>
    </row>
    <row r="62" ht="11.25" customHeight="1">
      <c r="A62" s="1"/>
      <c r="B62" s="1"/>
      <c r="C62" s="11"/>
      <c r="D62" s="12"/>
      <c r="E62" s="13"/>
      <c r="F62" s="11"/>
      <c r="G62" s="12"/>
      <c r="H62" s="13"/>
      <c r="I62" s="11"/>
      <c r="J62" s="12"/>
      <c r="K62" s="13"/>
      <c r="L62" s="11"/>
      <c r="M62" s="12"/>
      <c r="N62" s="13"/>
      <c r="O62" s="11"/>
      <c r="P62" s="12"/>
      <c r="Q62" s="13"/>
      <c r="R62" s="1"/>
      <c r="Y62" s="11"/>
      <c r="Z62" s="12"/>
      <c r="AA62" s="13"/>
      <c r="AD62" s="11"/>
      <c r="AE62" s="12"/>
      <c r="AF62" s="13"/>
      <c r="AG62" s="11"/>
      <c r="AH62" s="12"/>
      <c r="AI62" s="13"/>
      <c r="AJ62" s="11"/>
      <c r="AK62" s="12"/>
      <c r="AL62" s="13"/>
      <c r="AM62" s="1"/>
      <c r="AN62" s="61"/>
      <c r="AU62" s="34"/>
      <c r="AV62" s="1"/>
      <c r="AW62" s="18" t="s">
        <v>84</v>
      </c>
      <c r="BA62" s="1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6"/>
      <c r="BV62" s="1"/>
      <c r="BW62" s="1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1"/>
      <c r="CP62" s="1"/>
    </row>
    <row r="63" ht="11.25" customHeight="1">
      <c r="A63" s="1"/>
      <c r="B63" s="1"/>
      <c r="C63" s="1"/>
      <c r="D63" s="1"/>
      <c r="E63" s="1"/>
      <c r="F63" s="16"/>
      <c r="G63" s="16"/>
      <c r="H63" s="16"/>
      <c r="I63" s="16"/>
      <c r="J63" s="16"/>
      <c r="K63" s="16"/>
      <c r="L63" s="16" t="s">
        <v>116</v>
      </c>
      <c r="O63" s="16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6" t="s">
        <v>30</v>
      </c>
      <c r="AG63" s="16" t="s">
        <v>8</v>
      </c>
      <c r="AJ63" s="16" t="s">
        <v>24</v>
      </c>
      <c r="AM63" s="1"/>
      <c r="AN63" s="61"/>
      <c r="AU63" s="34"/>
      <c r="AV63" s="1"/>
      <c r="BA63" s="11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3"/>
      <c r="BV63" s="1"/>
      <c r="BW63" s="1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1"/>
      <c r="CP63" s="1"/>
    </row>
    <row r="64" ht="11.25" customHeight="1">
      <c r="A64" s="1"/>
      <c r="B64" s="1"/>
      <c r="C64" s="4" t="s">
        <v>117</v>
      </c>
      <c r="D64" s="5"/>
      <c r="E64" s="6"/>
      <c r="F64" s="26">
        <f>I64+L64+O64</f>
        <v>0</v>
      </c>
      <c r="G64" s="5"/>
      <c r="H64" s="6"/>
      <c r="I64" s="9">
        <f>if($K$70="Fort+Will",floor($AC$9/2),2+floor($AC$9*2/3))</f>
        <v>0</v>
      </c>
      <c r="J64" s="5"/>
      <c r="K64" s="6"/>
      <c r="L64" s="9">
        <f>max(VLookup("DEX",AbilityScores,9,false),VLookup("INT",AbilityScores,9,false))</f>
        <v>0</v>
      </c>
      <c r="M64" s="5"/>
      <c r="N64" s="6"/>
      <c r="O64" s="48"/>
      <c r="P64" s="5"/>
      <c r="Q64" s="6"/>
      <c r="R64" s="1"/>
      <c r="S64" s="4" t="s">
        <v>91</v>
      </c>
      <c r="T64" s="5"/>
      <c r="U64" s="5"/>
      <c r="V64" s="5"/>
      <c r="W64" s="5"/>
      <c r="X64" s="6"/>
      <c r="Y64" s="26">
        <f>10+AD64+AG64+AJ64</f>
        <v>11</v>
      </c>
      <c r="Z64" s="5"/>
      <c r="AA64" s="6"/>
      <c r="AB64" s="20" t="s">
        <v>100</v>
      </c>
      <c r="AD64" s="9">
        <f>VLookup(AB64,AbilityScores,9,false)</f>
        <v>0</v>
      </c>
      <c r="AE64" s="5"/>
      <c r="AF64" s="6"/>
      <c r="AG64" s="49">
        <f>$AC$9</f>
        <v>1</v>
      </c>
      <c r="AH64" s="5"/>
      <c r="AI64" s="6"/>
      <c r="AJ64" s="48"/>
      <c r="AK64" s="5"/>
      <c r="AL64" s="6"/>
      <c r="AM64" s="1"/>
      <c r="AN64" s="61"/>
      <c r="AU64" s="34"/>
      <c r="AV64" s="1"/>
      <c r="AW64" s="18" t="s">
        <v>118</v>
      </c>
      <c r="BA64" s="1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6"/>
      <c r="BV64" s="1"/>
      <c r="BW64" s="1"/>
      <c r="BX64" s="58" t="s">
        <v>111</v>
      </c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6"/>
      <c r="CO64" s="1"/>
      <c r="CP64" s="1"/>
    </row>
    <row r="65" ht="11.25" customHeight="1">
      <c r="A65" s="1"/>
      <c r="B65" s="1"/>
      <c r="C65" s="11"/>
      <c r="D65" s="12"/>
      <c r="E65" s="13"/>
      <c r="F65" s="11"/>
      <c r="G65" s="12"/>
      <c r="H65" s="13"/>
      <c r="I65" s="11"/>
      <c r="J65" s="12"/>
      <c r="K65" s="13"/>
      <c r="L65" s="11"/>
      <c r="M65" s="12"/>
      <c r="N65" s="13"/>
      <c r="O65" s="11"/>
      <c r="P65" s="12"/>
      <c r="Q65" s="13"/>
      <c r="R65" s="1"/>
      <c r="S65" s="11"/>
      <c r="T65" s="12"/>
      <c r="U65" s="12"/>
      <c r="V65" s="12"/>
      <c r="W65" s="12"/>
      <c r="X65" s="13"/>
      <c r="Y65" s="11"/>
      <c r="Z65" s="12"/>
      <c r="AA65" s="13"/>
      <c r="AD65" s="11"/>
      <c r="AE65" s="12"/>
      <c r="AF65" s="13"/>
      <c r="AG65" s="11"/>
      <c r="AH65" s="12"/>
      <c r="AI65" s="13"/>
      <c r="AJ65" s="11"/>
      <c r="AK65" s="12"/>
      <c r="AL65" s="13"/>
      <c r="AM65" s="1"/>
      <c r="AN65" s="61"/>
      <c r="AU65" s="34"/>
      <c r="AV65" s="1"/>
      <c r="BA65" s="11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3"/>
      <c r="BV65" s="1"/>
      <c r="BW65" s="1"/>
      <c r="BX65" s="11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3"/>
      <c r="CO65" s="1"/>
      <c r="CP65" s="1"/>
    </row>
    <row r="66" ht="11.25" customHeight="1">
      <c r="A66" s="1"/>
      <c r="B66" s="1"/>
      <c r="C66" s="1"/>
      <c r="D66" s="1"/>
      <c r="E66" s="1"/>
      <c r="F66" s="16"/>
      <c r="G66" s="16"/>
      <c r="H66" s="16"/>
      <c r="I66" s="16"/>
      <c r="J66" s="16"/>
      <c r="K66" s="16"/>
      <c r="L66" s="16" t="s">
        <v>119</v>
      </c>
      <c r="O66" s="16"/>
      <c r="P66" s="16"/>
      <c r="Q66" s="1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61"/>
      <c r="AU66" s="34"/>
      <c r="AV66" s="1"/>
      <c r="AW66" s="18" t="s">
        <v>120</v>
      </c>
      <c r="BA66" s="14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6"/>
      <c r="BV66" s="1"/>
      <c r="BW66" s="1"/>
      <c r="BX66" s="60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6"/>
      <c r="CO66" s="1"/>
      <c r="CP66" s="1"/>
    </row>
    <row r="67" ht="11.25" customHeight="1">
      <c r="A67" s="1"/>
      <c r="B67" s="1"/>
      <c r="C67" s="4" t="s">
        <v>121</v>
      </c>
      <c r="D67" s="5"/>
      <c r="E67" s="6"/>
      <c r="F67" s="26">
        <f>I67+L67+O67</f>
        <v>2</v>
      </c>
      <c r="G67" s="5"/>
      <c r="H67" s="6"/>
      <c r="I67" s="9">
        <f>if($K$70="Fort+Ref",floor($AC$9/2),2+floor($AC$9*2/3))</f>
        <v>2</v>
      </c>
      <c r="J67" s="5"/>
      <c r="K67" s="6"/>
      <c r="L67" s="9">
        <f>max(VLookup("WIS",AbilityScores,9,false),VLookup("CHA",AbilityScores,9,false))</f>
        <v>0</v>
      </c>
      <c r="M67" s="5"/>
      <c r="N67" s="6"/>
      <c r="O67" s="48"/>
      <c r="P67" s="5"/>
      <c r="Q67" s="6"/>
      <c r="R67" s="1"/>
      <c r="S67" s="4" t="s">
        <v>96</v>
      </c>
      <c r="T67" s="5"/>
      <c r="U67" s="5"/>
      <c r="V67" s="5"/>
      <c r="W67" s="5"/>
      <c r="X67" s="6"/>
      <c r="Y67" s="26">
        <f>10+AD67+AG67+AJ67</f>
        <v>11</v>
      </c>
      <c r="Z67" s="5"/>
      <c r="AA67" s="6"/>
      <c r="AB67" s="20" t="s">
        <v>64</v>
      </c>
      <c r="AD67" s="9">
        <f>VLookup(AB67,AbilityScores,9,false)</f>
        <v>0</v>
      </c>
      <c r="AE67" s="5"/>
      <c r="AF67" s="6"/>
      <c r="AG67" s="49">
        <f>$AC$9</f>
        <v>1</v>
      </c>
      <c r="AH67" s="5"/>
      <c r="AI67" s="6"/>
      <c r="AJ67" s="48"/>
      <c r="AK67" s="5"/>
      <c r="AL67" s="6"/>
      <c r="AM67" s="1"/>
      <c r="AN67" s="61"/>
      <c r="AU67" s="34"/>
      <c r="AV67" s="1"/>
      <c r="BA67" s="11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3"/>
      <c r="BV67" s="1"/>
      <c r="BW67" s="1"/>
      <c r="BX67" s="61"/>
      <c r="CN67" s="34"/>
      <c r="CO67" s="1"/>
      <c r="CP67" s="1"/>
    </row>
    <row r="68" ht="11.25" customHeight="1">
      <c r="A68" s="1"/>
      <c r="B68" s="1"/>
      <c r="C68" s="11"/>
      <c r="D68" s="12"/>
      <c r="E68" s="13"/>
      <c r="F68" s="11"/>
      <c r="G68" s="12"/>
      <c r="H68" s="13"/>
      <c r="I68" s="11"/>
      <c r="J68" s="12"/>
      <c r="K68" s="13"/>
      <c r="L68" s="11"/>
      <c r="M68" s="12"/>
      <c r="N68" s="13"/>
      <c r="O68" s="11"/>
      <c r="P68" s="12"/>
      <c r="Q68" s="13"/>
      <c r="R68" s="1"/>
      <c r="S68" s="11"/>
      <c r="T68" s="12"/>
      <c r="U68" s="12"/>
      <c r="V68" s="12"/>
      <c r="W68" s="12"/>
      <c r="X68" s="13"/>
      <c r="Y68" s="11"/>
      <c r="Z68" s="12"/>
      <c r="AA68" s="13"/>
      <c r="AD68" s="11"/>
      <c r="AE68" s="12"/>
      <c r="AF68" s="13"/>
      <c r="AG68" s="11"/>
      <c r="AH68" s="12"/>
      <c r="AI68" s="13"/>
      <c r="AJ68" s="11"/>
      <c r="AK68" s="12"/>
      <c r="AL68" s="13"/>
      <c r="AM68" s="1"/>
      <c r="AN68" s="61"/>
      <c r="AU68" s="34"/>
      <c r="AV68" s="1"/>
      <c r="AW68" s="18" t="s">
        <v>122</v>
      </c>
      <c r="BA68" s="14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6"/>
      <c r="BV68" s="1"/>
      <c r="BW68" s="1"/>
      <c r="BX68" s="61"/>
      <c r="CN68" s="34"/>
      <c r="CO68" s="1"/>
      <c r="CP68" s="1"/>
    </row>
    <row r="69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61"/>
      <c r="AU69" s="34"/>
      <c r="AV69" s="1"/>
      <c r="BA69" s="11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3"/>
      <c r="BV69" s="1"/>
      <c r="BW69" s="1"/>
      <c r="BX69" s="61"/>
      <c r="CN69" s="34"/>
      <c r="CO69" s="1"/>
      <c r="CP69" s="1"/>
    </row>
    <row r="70" ht="11.25" customHeight="1">
      <c r="A70" s="1"/>
      <c r="B70" s="1"/>
      <c r="C70" s="4" t="s">
        <v>123</v>
      </c>
      <c r="D70" s="5"/>
      <c r="E70" s="5"/>
      <c r="F70" s="5"/>
      <c r="G70" s="5"/>
      <c r="H70" s="5"/>
      <c r="I70" s="5"/>
      <c r="J70" s="6"/>
      <c r="K70" s="14" t="s">
        <v>124</v>
      </c>
      <c r="L70" s="5"/>
      <c r="M70" s="5"/>
      <c r="N70" s="5"/>
      <c r="O70" s="5"/>
      <c r="P70" s="5"/>
      <c r="Q70" s="6"/>
      <c r="R70" s="1"/>
      <c r="S70" s="4" t="s">
        <v>97</v>
      </c>
      <c r="T70" s="5"/>
      <c r="U70" s="5"/>
      <c r="V70" s="5"/>
      <c r="W70" s="5"/>
      <c r="X70" s="6"/>
      <c r="Y70" s="26">
        <f>10+AD70+AG70+AJ70</f>
        <v>11</v>
      </c>
      <c r="Z70" s="5"/>
      <c r="AA70" s="6"/>
      <c r="AB70" s="20" t="s">
        <v>92</v>
      </c>
      <c r="AD70" s="9">
        <f>VLookup(AB70,AbilityScores,9,false)</f>
        <v>0</v>
      </c>
      <c r="AE70" s="5"/>
      <c r="AF70" s="6"/>
      <c r="AG70" s="49">
        <f>$AC$9</f>
        <v>1</v>
      </c>
      <c r="AH70" s="5"/>
      <c r="AI70" s="6"/>
      <c r="AJ70" s="48"/>
      <c r="AK70" s="5"/>
      <c r="AL70" s="6"/>
      <c r="AM70" s="1"/>
      <c r="AN70" s="61"/>
      <c r="AU70" s="34"/>
      <c r="AV70" s="1"/>
      <c r="AW70" s="18" t="s">
        <v>125</v>
      </c>
      <c r="BA70" s="14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6"/>
      <c r="BV70" s="1"/>
      <c r="BW70" s="1"/>
      <c r="BX70" s="61"/>
      <c r="CN70" s="34"/>
      <c r="CO70" s="1"/>
      <c r="CP70" s="1"/>
    </row>
    <row r="71" ht="11.25" customHeight="1">
      <c r="A71" s="1"/>
      <c r="B71" s="1"/>
      <c r="C71" s="11"/>
      <c r="D71" s="12"/>
      <c r="E71" s="12"/>
      <c r="F71" s="12"/>
      <c r="G71" s="12"/>
      <c r="H71" s="12"/>
      <c r="I71" s="12"/>
      <c r="J71" s="13"/>
      <c r="K71" s="11"/>
      <c r="L71" s="12"/>
      <c r="M71" s="12"/>
      <c r="N71" s="12"/>
      <c r="O71" s="12"/>
      <c r="P71" s="12"/>
      <c r="Q71" s="13"/>
      <c r="R71" s="1"/>
      <c r="S71" s="11"/>
      <c r="T71" s="12"/>
      <c r="U71" s="12"/>
      <c r="V71" s="12"/>
      <c r="W71" s="12"/>
      <c r="X71" s="13"/>
      <c r="Y71" s="11"/>
      <c r="Z71" s="12"/>
      <c r="AA71" s="13"/>
      <c r="AD71" s="11"/>
      <c r="AE71" s="12"/>
      <c r="AF71" s="13"/>
      <c r="AG71" s="11"/>
      <c r="AH71" s="12"/>
      <c r="AI71" s="13"/>
      <c r="AJ71" s="11"/>
      <c r="AK71" s="12"/>
      <c r="AL71" s="13"/>
      <c r="AM71" s="1"/>
      <c r="AN71" s="61"/>
      <c r="AU71" s="34"/>
      <c r="AV71" s="1"/>
      <c r="BA71" s="11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3"/>
      <c r="BV71" s="1"/>
      <c r="BW71" s="1"/>
      <c r="BX71" s="61"/>
      <c r="CN71" s="34"/>
      <c r="CO71" s="1"/>
      <c r="CP71" s="1"/>
    </row>
    <row r="72" ht="11.25" customHeight="1">
      <c r="A72" s="1"/>
      <c r="B72" s="1"/>
      <c r="C72" s="15"/>
      <c r="D72" s="15"/>
      <c r="E72" s="15"/>
      <c r="F72" s="16" t="s">
        <v>29</v>
      </c>
      <c r="I72" s="16" t="str">
        <f>CONCAT(IF(COUNTIF(BA58:BA76,"Dartmuth Secret"),"Int","Con"),if($BL$29&lt;10,"/2",""))</f>
        <v>Con/2</v>
      </c>
      <c r="L72" s="16" t="s">
        <v>24</v>
      </c>
      <c r="O72" s="16"/>
      <c r="P72" s="16"/>
      <c r="Q72" s="16"/>
      <c r="R72" s="15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61"/>
      <c r="AU72" s="34"/>
      <c r="AV72" s="1"/>
      <c r="AW72" s="18" t="s">
        <v>126</v>
      </c>
      <c r="BA72" s="14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6"/>
      <c r="BV72" s="1"/>
      <c r="BW72" s="1"/>
      <c r="BX72" s="61"/>
      <c r="CN72" s="34"/>
      <c r="CO72" s="1"/>
      <c r="CP72" s="1"/>
    </row>
    <row r="73" ht="11.25" customHeight="1">
      <c r="A73" s="1"/>
      <c r="B73" s="1"/>
      <c r="C73" s="4" t="s">
        <v>127</v>
      </c>
      <c r="D73" s="5"/>
      <c r="E73" s="6"/>
      <c r="F73" s="26">
        <f>I73+L73</f>
        <v>0</v>
      </c>
      <c r="G73" s="5"/>
      <c r="H73" s="6"/>
      <c r="I73" s="9">
        <f>max(0,floor(VLookup(LEFT(I72,3),AbilityScores,9,false)/(if($BL$29&lt;10,2,1))))</f>
        <v>0</v>
      </c>
      <c r="J73" s="5"/>
      <c r="K73" s="6"/>
      <c r="L73" s="48"/>
      <c r="M73" s="5"/>
      <c r="N73" s="6"/>
      <c r="O73" s="16"/>
      <c r="P73" s="2"/>
      <c r="Q73" s="2"/>
      <c r="R73" s="2"/>
      <c r="S73" s="4" t="s">
        <v>99</v>
      </c>
      <c r="T73" s="5"/>
      <c r="U73" s="5"/>
      <c r="V73" s="5"/>
      <c r="W73" s="5"/>
      <c r="X73" s="6"/>
      <c r="Y73" s="26">
        <f>10+AD73+AG73+AJ73</f>
        <v>11</v>
      </c>
      <c r="Z73" s="5"/>
      <c r="AA73" s="6"/>
      <c r="AB73" s="20" t="s">
        <v>92</v>
      </c>
      <c r="AD73" s="9">
        <f>VLookup(AB73,AbilityScores,9,false)</f>
        <v>0</v>
      </c>
      <c r="AE73" s="5"/>
      <c r="AF73" s="6"/>
      <c r="AG73" s="49">
        <f>$AC$9</f>
        <v>1</v>
      </c>
      <c r="AH73" s="5"/>
      <c r="AI73" s="6"/>
      <c r="AJ73" s="48"/>
      <c r="AK73" s="5"/>
      <c r="AL73" s="6"/>
      <c r="AM73" s="1"/>
      <c r="AN73" s="61"/>
      <c r="AU73" s="34"/>
      <c r="AV73" s="1"/>
      <c r="BA73" s="11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3"/>
      <c r="BV73" s="1"/>
      <c r="BW73" s="1"/>
      <c r="BX73" s="61"/>
      <c r="CN73" s="34"/>
      <c r="CO73" s="1"/>
      <c r="CP73" s="1"/>
    </row>
    <row r="74" ht="11.25" customHeight="1">
      <c r="A74" s="1"/>
      <c r="B74" s="1"/>
      <c r="C74" s="11"/>
      <c r="D74" s="12"/>
      <c r="E74" s="13"/>
      <c r="F74" s="11"/>
      <c r="G74" s="12"/>
      <c r="H74" s="13"/>
      <c r="I74" s="11"/>
      <c r="J74" s="12"/>
      <c r="K74" s="13"/>
      <c r="L74" s="11"/>
      <c r="M74" s="12"/>
      <c r="N74" s="13"/>
      <c r="O74" s="16"/>
      <c r="P74" s="2"/>
      <c r="Q74" s="2"/>
      <c r="R74" s="2"/>
      <c r="S74" s="11"/>
      <c r="T74" s="12"/>
      <c r="U74" s="12"/>
      <c r="V74" s="12"/>
      <c r="W74" s="12"/>
      <c r="X74" s="13"/>
      <c r="Y74" s="11"/>
      <c r="Z74" s="12"/>
      <c r="AA74" s="13"/>
      <c r="AD74" s="11"/>
      <c r="AE74" s="12"/>
      <c r="AF74" s="13"/>
      <c r="AG74" s="11"/>
      <c r="AH74" s="12"/>
      <c r="AI74" s="13"/>
      <c r="AJ74" s="11"/>
      <c r="AK74" s="12"/>
      <c r="AL74" s="13"/>
      <c r="AM74" s="1"/>
      <c r="AN74" s="61"/>
      <c r="AU74" s="34"/>
      <c r="AV74" s="1"/>
      <c r="AW74" s="18" t="s">
        <v>24</v>
      </c>
      <c r="BA74" s="14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6"/>
      <c r="BV74" s="1"/>
      <c r="BW74" s="1"/>
      <c r="BX74" s="61"/>
      <c r="CN74" s="34"/>
      <c r="CO74" s="1"/>
      <c r="CP74" s="1"/>
    </row>
    <row r="75" ht="11.25" customHeight="1">
      <c r="A75" s="1"/>
      <c r="B75" s="1"/>
      <c r="C75" s="15"/>
      <c r="D75" s="15"/>
      <c r="E75" s="15"/>
      <c r="F75" s="16" t="s">
        <v>29</v>
      </c>
      <c r="I75" s="16"/>
      <c r="J75" s="16"/>
      <c r="K75" s="62" t="s">
        <v>26</v>
      </c>
      <c r="N75" s="62" t="s">
        <v>8</v>
      </c>
      <c r="Q75" s="63" t="s">
        <v>10</v>
      </c>
      <c r="T75" s="62" t="s">
        <v>128</v>
      </c>
      <c r="W75" s="62" t="s">
        <v>129</v>
      </c>
      <c r="Z75" s="64" t="s">
        <v>24</v>
      </c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61"/>
      <c r="AU75" s="34"/>
      <c r="AV75" s="1"/>
      <c r="BA75" s="11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3"/>
      <c r="BV75" s="1"/>
      <c r="BW75" s="1"/>
      <c r="BX75" s="61"/>
      <c r="CN75" s="34"/>
      <c r="CO75" s="1"/>
      <c r="CP75" s="1"/>
    </row>
    <row r="76" ht="11.25" customHeight="1">
      <c r="A76" s="1"/>
      <c r="B76" s="1"/>
      <c r="C76" s="4" t="s">
        <v>130</v>
      </c>
      <c r="D76" s="5"/>
      <c r="E76" s="6"/>
      <c r="F76" s="26">
        <f>I76+K76+N76+Q76+T76+W76+Z76</f>
        <v>11</v>
      </c>
      <c r="G76" s="5"/>
      <c r="H76" s="6"/>
      <c r="I76" s="18">
        <v>10.0</v>
      </c>
      <c r="K76" s="9">
        <f>$W$38</f>
        <v>0</v>
      </c>
      <c r="L76" s="5"/>
      <c r="M76" s="6"/>
      <c r="N76" s="65">
        <f>$AC$9</f>
        <v>1</v>
      </c>
      <c r="O76" s="5"/>
      <c r="P76" s="6"/>
      <c r="Q76" s="65">
        <f>SWITCH($Q$11,"Average",0,"Small",1,IF($AS$11="Yes",-1,0))</f>
        <v>0</v>
      </c>
      <c r="R76" s="5"/>
      <c r="S76" s="6"/>
      <c r="T76" s="14"/>
      <c r="U76" s="5"/>
      <c r="V76" s="6"/>
      <c r="W76" s="14"/>
      <c r="X76" s="5"/>
      <c r="Y76" s="6"/>
      <c r="Z76" s="14"/>
      <c r="AA76" s="5"/>
      <c r="AB76" s="6"/>
      <c r="AC76" s="18"/>
      <c r="AD76" s="18"/>
      <c r="AE76" s="18"/>
      <c r="AF76" s="1"/>
      <c r="AG76" s="1"/>
      <c r="AH76" s="1"/>
      <c r="AI76" s="1"/>
      <c r="AJ76" s="1"/>
      <c r="AK76" s="1"/>
      <c r="AL76" s="1"/>
      <c r="AM76" s="1"/>
      <c r="AN76" s="61"/>
      <c r="AU76" s="34"/>
      <c r="AV76" s="1"/>
      <c r="BA76" s="14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6"/>
      <c r="BV76" s="1"/>
      <c r="BW76" s="1"/>
      <c r="BX76" s="61"/>
      <c r="CN76" s="34"/>
      <c r="CO76" s="1"/>
      <c r="CP76" s="1"/>
    </row>
    <row r="77" ht="11.25" customHeight="1">
      <c r="A77" s="1"/>
      <c r="B77" s="1"/>
      <c r="C77" s="11"/>
      <c r="D77" s="12"/>
      <c r="E77" s="13"/>
      <c r="F77" s="11"/>
      <c r="G77" s="12"/>
      <c r="H77" s="13"/>
      <c r="K77" s="11"/>
      <c r="L77" s="12"/>
      <c r="M77" s="13"/>
      <c r="N77" s="11"/>
      <c r="O77" s="12"/>
      <c r="P77" s="13"/>
      <c r="Q77" s="11"/>
      <c r="R77" s="12"/>
      <c r="S77" s="13"/>
      <c r="T77" s="11"/>
      <c r="U77" s="12"/>
      <c r="V77" s="13"/>
      <c r="W77" s="11"/>
      <c r="X77" s="12"/>
      <c r="Y77" s="13"/>
      <c r="Z77" s="11"/>
      <c r="AA77" s="12"/>
      <c r="AB77" s="13"/>
      <c r="AC77" s="18"/>
      <c r="AD77" s="18"/>
      <c r="AE77" s="18"/>
      <c r="AF77" s="1"/>
      <c r="AG77" s="1"/>
      <c r="AH77" s="1"/>
      <c r="AI77" s="1"/>
      <c r="AJ77" s="1"/>
      <c r="AK77" s="1"/>
      <c r="AL77" s="1"/>
      <c r="AM77" s="1"/>
      <c r="AN77" s="11"/>
      <c r="AO77" s="12"/>
      <c r="AP77" s="12"/>
      <c r="AQ77" s="12"/>
      <c r="AR77" s="12"/>
      <c r="AS77" s="12"/>
      <c r="AT77" s="12"/>
      <c r="AU77" s="13"/>
      <c r="AV77" s="1"/>
      <c r="BA77" s="11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3"/>
      <c r="BV77" s="1"/>
      <c r="BW77" s="1"/>
      <c r="BX77" s="61"/>
      <c r="CN77" s="34"/>
      <c r="CO77" s="1"/>
      <c r="CP77" s="1"/>
    </row>
    <row r="78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61"/>
      <c r="CN78" s="34"/>
      <c r="CO78" s="1"/>
      <c r="CP78" s="1"/>
    </row>
    <row r="79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61"/>
      <c r="CN79" s="34"/>
      <c r="CO79" s="1"/>
      <c r="CP79" s="1"/>
    </row>
    <row r="80" ht="11.25" customHeight="1">
      <c r="A80" s="1"/>
      <c r="B80" s="1"/>
      <c r="C80" s="8" t="s">
        <v>131</v>
      </c>
      <c r="AR80" s="1"/>
      <c r="AS80" s="1"/>
      <c r="AT80" s="8" t="s">
        <v>132</v>
      </c>
      <c r="BV80" s="1"/>
      <c r="BW80" s="1"/>
      <c r="BX80" s="61"/>
      <c r="CN80" s="34"/>
      <c r="CO80" s="1"/>
      <c r="CP80" s="1"/>
    </row>
    <row r="81" ht="11.25" customHeight="1">
      <c r="A81" s="1"/>
      <c r="B81" s="1"/>
      <c r="AR81" s="1"/>
      <c r="AS81" s="1"/>
      <c r="BV81" s="1"/>
      <c r="BW81" s="1"/>
      <c r="BX81" s="61"/>
      <c r="CN81" s="34"/>
      <c r="CO81" s="1"/>
      <c r="CP81" s="1"/>
    </row>
    <row r="82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61"/>
      <c r="CN82" s="34"/>
      <c r="CO82" s="1"/>
      <c r="CP82" s="1"/>
    </row>
    <row r="83" ht="11.25" customHeight="1">
      <c r="A83" s="1"/>
      <c r="B83" s="1"/>
      <c r="C83" s="1"/>
      <c r="D83" s="1"/>
      <c r="E83" s="1"/>
      <c r="F83" s="1"/>
      <c r="G83" s="1"/>
      <c r="H83" s="20" t="s">
        <v>29</v>
      </c>
      <c r="K83" s="20" t="s">
        <v>133</v>
      </c>
      <c r="N83" s="20" t="s">
        <v>93</v>
      </c>
      <c r="Q83" s="20" t="s">
        <v>76</v>
      </c>
      <c r="T83" s="20" t="s">
        <v>10</v>
      </c>
      <c r="W83" s="20" t="s">
        <v>24</v>
      </c>
      <c r="Z83" s="1"/>
      <c r="AA83" s="1"/>
      <c r="AB83" s="1"/>
      <c r="AC83" s="1"/>
      <c r="AD83" s="1"/>
      <c r="AE83" s="1"/>
      <c r="AF83" s="20" t="s">
        <v>29</v>
      </c>
      <c r="AI83" s="20" t="s">
        <v>76</v>
      </c>
      <c r="AL83" s="20" t="s">
        <v>134</v>
      </c>
      <c r="AO83" s="20" t="s">
        <v>24</v>
      </c>
      <c r="AR83" s="1"/>
      <c r="AS83" s="1"/>
      <c r="AT83" s="48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6"/>
      <c r="BH83" s="48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6"/>
      <c r="BV83" s="1"/>
      <c r="BW83" s="1"/>
      <c r="BX83" s="11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3"/>
      <c r="CO83" s="1"/>
      <c r="CP83" s="1"/>
    </row>
    <row r="84" ht="11.25" customHeight="1">
      <c r="A84" s="1"/>
      <c r="B84" s="1"/>
      <c r="C84" s="4" t="s">
        <v>135</v>
      </c>
      <c r="D84" s="5"/>
      <c r="E84" s="5"/>
      <c r="F84" s="5"/>
      <c r="G84" s="6"/>
      <c r="H84" s="26">
        <f>Sum(N84:W84)</f>
        <v>1</v>
      </c>
      <c r="I84" s="5"/>
      <c r="J84" s="6"/>
      <c r="K84" s="66" t="str">
        <f>IF($H$47&gt;=6,($H$84-5),"-")</f>
        <v>-</v>
      </c>
      <c r="L84" s="5"/>
      <c r="M84" s="6"/>
      <c r="N84" s="9">
        <f>$H$47</f>
        <v>1</v>
      </c>
      <c r="O84" s="5"/>
      <c r="P84" s="6"/>
      <c r="Q84" s="9">
        <f>$H$38</f>
        <v>0</v>
      </c>
      <c r="R84" s="5"/>
      <c r="S84" s="6"/>
      <c r="T84" s="65">
        <f>SWITCH($Q$11,"Average",0,"Small",1,IF($AS$11="Yes",-1,0))</f>
        <v>0</v>
      </c>
      <c r="U84" s="5"/>
      <c r="V84" s="6"/>
      <c r="W84" s="48"/>
      <c r="X84" s="5"/>
      <c r="Y84" s="6"/>
      <c r="Z84" s="1"/>
      <c r="AA84" s="4" t="s">
        <v>136</v>
      </c>
      <c r="AB84" s="5"/>
      <c r="AC84" s="5"/>
      <c r="AD84" s="5"/>
      <c r="AE84" s="6"/>
      <c r="AF84" s="26">
        <f>Sum(AI84:AO84)</f>
        <v>0</v>
      </c>
      <c r="AG84" s="5"/>
      <c r="AH84" s="6"/>
      <c r="AI84" s="9">
        <f>$H$38</f>
        <v>0</v>
      </c>
      <c r="AJ84" s="5"/>
      <c r="AK84" s="6"/>
      <c r="AL84" s="9">
        <f>max(0,floor(VLookup("STR",AbilityScores,9,false)/2))</f>
        <v>0</v>
      </c>
      <c r="AM84" s="5"/>
      <c r="AN84" s="6"/>
      <c r="AO84" s="48"/>
      <c r="AP84" s="5"/>
      <c r="AQ84" s="6"/>
      <c r="AR84" s="1"/>
      <c r="AS84" s="1"/>
      <c r="AT84" s="11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3"/>
      <c r="BH84" s="11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3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</row>
    <row r="85" ht="11.25" customHeight="1">
      <c r="A85" s="1"/>
      <c r="B85" s="1"/>
      <c r="C85" s="11"/>
      <c r="D85" s="12"/>
      <c r="E85" s="12"/>
      <c r="F85" s="12"/>
      <c r="G85" s="13"/>
      <c r="H85" s="11"/>
      <c r="I85" s="12"/>
      <c r="J85" s="13"/>
      <c r="K85" s="11"/>
      <c r="L85" s="12"/>
      <c r="M85" s="13"/>
      <c r="N85" s="11"/>
      <c r="O85" s="12"/>
      <c r="P85" s="13"/>
      <c r="Q85" s="11"/>
      <c r="R85" s="12"/>
      <c r="S85" s="13"/>
      <c r="T85" s="11"/>
      <c r="U85" s="12"/>
      <c r="V85" s="13"/>
      <c r="W85" s="11"/>
      <c r="X85" s="12"/>
      <c r="Y85" s="13"/>
      <c r="Z85" s="1"/>
      <c r="AA85" s="11"/>
      <c r="AB85" s="12"/>
      <c r="AC85" s="12"/>
      <c r="AD85" s="12"/>
      <c r="AE85" s="13"/>
      <c r="AF85" s="11"/>
      <c r="AG85" s="12"/>
      <c r="AH85" s="13"/>
      <c r="AI85" s="11"/>
      <c r="AJ85" s="12"/>
      <c r="AK85" s="13"/>
      <c r="AL85" s="11"/>
      <c r="AM85" s="12"/>
      <c r="AN85" s="13"/>
      <c r="AO85" s="11"/>
      <c r="AP85" s="12"/>
      <c r="AQ85" s="13"/>
      <c r="AR85" s="1"/>
      <c r="AS85" s="1"/>
      <c r="AT85" s="48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6"/>
      <c r="BH85" s="48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6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</row>
    <row r="8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1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3"/>
      <c r="BH86" s="11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3"/>
      <c r="BV86" s="1"/>
      <c r="BW86" s="1"/>
      <c r="BX86" s="58" t="s">
        <v>137</v>
      </c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6"/>
      <c r="CO86" s="1"/>
      <c r="CP86" s="1"/>
    </row>
    <row r="87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48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6"/>
      <c r="BH87" s="48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6"/>
      <c r="BV87" s="1"/>
      <c r="BW87" s="1"/>
      <c r="BX87" s="11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3"/>
      <c r="CO87" s="1"/>
      <c r="CP87" s="1"/>
    </row>
    <row r="88" ht="11.25" customHeight="1">
      <c r="A88" s="1"/>
      <c r="B88" s="1"/>
      <c r="C88" s="4" t="s">
        <v>138</v>
      </c>
      <c r="D88" s="5"/>
      <c r="E88" s="5"/>
      <c r="F88" s="5"/>
      <c r="G88" s="5"/>
      <c r="H88" s="6"/>
      <c r="I88" s="48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6"/>
      <c r="AF88" s="1"/>
      <c r="AG88" s="4" t="s">
        <v>71</v>
      </c>
      <c r="AH88" s="5"/>
      <c r="AI88" s="5"/>
      <c r="AJ88" s="5"/>
      <c r="AK88" s="6"/>
      <c r="AL88" s="48"/>
      <c r="AM88" s="5"/>
      <c r="AN88" s="5"/>
      <c r="AO88" s="5"/>
      <c r="AP88" s="5"/>
      <c r="AQ88" s="6"/>
      <c r="AR88" s="1"/>
      <c r="AS88" s="1"/>
      <c r="AT88" s="11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3"/>
      <c r="BH88" s="11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3"/>
      <c r="BV88" s="1"/>
      <c r="BW88" s="1"/>
      <c r="BX88" s="67" t="str">
        <f>CONCATENATE("LESSER: Healing Potion",IF($BL$23&gt;0,", Firebrand",""),IF($BL$32&gt;0,", Hollow Horn",""),IF($BL$34&gt;0,", Floating Eye, Meat Grenade",""),IF($BL$36&gt;0,", Granite Spike",""),IF($BL$38&gt;0,", What Someone Else Knew",""),IF($BL$42&gt;0,", Instant Tree",""),IF($BL$51&gt;0,", Curious Monocle",""),char(10),char(10),"GREATER: Formal Favor, Gloss Armor, Tiny Model",IF($BL$23&gt;0,", Friends in Low Places",""),IF($BL$34&gt;0,", Brush Shield, Canned Lightning, Daedelic Wings, Intricate Headgear",""),IF($BL$36&gt;0,", Affable Cube, Shape Earth",""),IF($BL$38&gt;0,", Spirit's Shielding",""),IF($BL$42&gt;0,", Strange Acid Flask",""),IF($BL$47&gt;0,", Limited Diplomatic Immunity",""),IF($BL$51&gt;0,", Wolf Totem",""),char(10),char(10),"RELIC: Rusted Ring",IF($BL$32&gt;0,", Illusory Terrain",""))</f>
        <v>LESSER: Healing Potion
GREATER: Formal Favor, Gloss Armor, Tiny Model
RELIC: Rusted Ring</v>
      </c>
      <c r="CN88" s="34"/>
      <c r="CO88" s="1"/>
      <c r="CP88" s="1"/>
    </row>
    <row r="89" ht="11.25" customHeight="1">
      <c r="A89" s="1"/>
      <c r="B89" s="1"/>
      <c r="C89" s="11"/>
      <c r="D89" s="12"/>
      <c r="E89" s="12"/>
      <c r="F89" s="12"/>
      <c r="G89" s="12"/>
      <c r="H89" s="13"/>
      <c r="I89" s="11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3"/>
      <c r="AF89" s="1"/>
      <c r="AG89" s="11"/>
      <c r="AH89" s="12"/>
      <c r="AI89" s="12"/>
      <c r="AJ89" s="12"/>
      <c r="AK89" s="13"/>
      <c r="AL89" s="11"/>
      <c r="AM89" s="12"/>
      <c r="AN89" s="12"/>
      <c r="AO89" s="12"/>
      <c r="AP89" s="12"/>
      <c r="AQ89" s="13"/>
      <c r="AR89" s="1"/>
      <c r="AS89" s="1"/>
      <c r="AT89" s="48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6"/>
      <c r="BH89" s="48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6"/>
      <c r="BV89" s="1"/>
      <c r="BW89" s="1"/>
      <c r="BX89" s="61"/>
      <c r="CN89" s="34"/>
      <c r="CO89" s="1"/>
      <c r="CP89" s="1"/>
    </row>
    <row r="90" ht="11.25" customHeight="1">
      <c r="A90" s="1"/>
      <c r="B90" s="1"/>
      <c r="C90" s="1"/>
      <c r="D90" s="1"/>
      <c r="E90" s="1"/>
      <c r="F90" s="1"/>
      <c r="G90" s="1"/>
      <c r="H90" s="20" t="s">
        <v>29</v>
      </c>
      <c r="K90" s="20" t="s">
        <v>22</v>
      </c>
      <c r="N90" s="20" t="s">
        <v>128</v>
      </c>
      <c r="Q90" s="20" t="s">
        <v>24</v>
      </c>
      <c r="T90" s="20"/>
      <c r="U90" s="20"/>
      <c r="V90" s="20"/>
      <c r="W90" s="1"/>
      <c r="X90" s="1"/>
      <c r="Y90" s="20"/>
      <c r="Z90" s="20" t="s">
        <v>139</v>
      </c>
      <c r="AE90" s="20"/>
      <c r="AF90" s="20" t="s">
        <v>29</v>
      </c>
      <c r="AI90" s="20" t="s">
        <v>22</v>
      </c>
      <c r="AL90" s="20" t="s">
        <v>140</v>
      </c>
      <c r="AO90" s="20" t="s">
        <v>24</v>
      </c>
      <c r="AR90" s="1"/>
      <c r="AS90" s="1"/>
      <c r="AT90" s="11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3"/>
      <c r="BH90" s="11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3"/>
      <c r="BV90" s="1"/>
      <c r="BW90" s="1"/>
      <c r="BX90" s="61"/>
      <c r="CN90" s="34"/>
      <c r="CO90" s="1"/>
      <c r="CP90" s="1"/>
    </row>
    <row r="91" ht="11.25" customHeight="1">
      <c r="A91" s="1"/>
      <c r="B91" s="1"/>
      <c r="C91" s="4" t="s">
        <v>135</v>
      </c>
      <c r="D91" s="5"/>
      <c r="E91" s="5"/>
      <c r="F91" s="5"/>
      <c r="G91" s="6"/>
      <c r="H91" s="26">
        <f>Sum(K91:Q91)</f>
        <v>1</v>
      </c>
      <c r="I91" s="5"/>
      <c r="J91" s="6"/>
      <c r="K91" s="9">
        <f>$H$84</f>
        <v>1</v>
      </c>
      <c r="L91" s="5"/>
      <c r="M91" s="6"/>
      <c r="N91" s="14"/>
      <c r="O91" s="5"/>
      <c r="P91" s="6"/>
      <c r="Q91" s="14"/>
      <c r="R91" s="5"/>
      <c r="S91" s="6"/>
      <c r="T91" s="2"/>
      <c r="U91" s="68" t="s">
        <v>136</v>
      </c>
      <c r="V91" s="5"/>
      <c r="W91" s="5"/>
      <c r="X91" s="5"/>
      <c r="Y91" s="6"/>
      <c r="Z91" s="23" t="s">
        <v>141</v>
      </c>
      <c r="AA91" s="5"/>
      <c r="AB91" s="5"/>
      <c r="AC91" s="5"/>
      <c r="AD91" s="6"/>
      <c r="AE91" s="69" t="str">
        <f>IF(Z91="","","+")</f>
        <v>+</v>
      </c>
      <c r="AF91" s="26">
        <f>Sum(AI91:AO91)</f>
        <v>0</v>
      </c>
      <c r="AG91" s="5"/>
      <c r="AH91" s="6"/>
      <c r="AI91" s="9">
        <f>$AF$84</f>
        <v>0</v>
      </c>
      <c r="AJ91" s="5"/>
      <c r="AK91" s="6"/>
      <c r="AL91" s="48"/>
      <c r="AM91" s="5"/>
      <c r="AN91" s="6"/>
      <c r="AO91" s="48"/>
      <c r="AP91" s="5"/>
      <c r="AQ91" s="6"/>
      <c r="AR91" s="1"/>
      <c r="AS91" s="1"/>
      <c r="AT91" s="48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6"/>
      <c r="BH91" s="48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6"/>
      <c r="BV91" s="1"/>
      <c r="BW91" s="1"/>
      <c r="BX91" s="61"/>
      <c r="CN91" s="34"/>
      <c r="CO91" s="1"/>
      <c r="CP91" s="1"/>
    </row>
    <row r="92" ht="11.25" customHeight="1">
      <c r="A92" s="1"/>
      <c r="B92" s="1"/>
      <c r="C92" s="11"/>
      <c r="D92" s="12"/>
      <c r="E92" s="12"/>
      <c r="F92" s="12"/>
      <c r="G92" s="13"/>
      <c r="H92" s="11"/>
      <c r="I92" s="12"/>
      <c r="J92" s="13"/>
      <c r="K92" s="11"/>
      <c r="L92" s="12"/>
      <c r="M92" s="13"/>
      <c r="N92" s="11"/>
      <c r="O92" s="12"/>
      <c r="P92" s="13"/>
      <c r="Q92" s="11"/>
      <c r="R92" s="12"/>
      <c r="S92" s="13"/>
      <c r="T92" s="2"/>
      <c r="U92" s="12"/>
      <c r="V92" s="12"/>
      <c r="W92" s="12"/>
      <c r="X92" s="12"/>
      <c r="Y92" s="13"/>
      <c r="Z92" s="11"/>
      <c r="AA92" s="12"/>
      <c r="AB92" s="12"/>
      <c r="AC92" s="12"/>
      <c r="AD92" s="13"/>
      <c r="AF92" s="11"/>
      <c r="AG92" s="12"/>
      <c r="AH92" s="13"/>
      <c r="AI92" s="11"/>
      <c r="AJ92" s="12"/>
      <c r="AK92" s="13"/>
      <c r="AL92" s="11"/>
      <c r="AM92" s="12"/>
      <c r="AN92" s="13"/>
      <c r="AO92" s="11"/>
      <c r="AP92" s="12"/>
      <c r="AQ92" s="13"/>
      <c r="AR92" s="1"/>
      <c r="AS92" s="1"/>
      <c r="AT92" s="11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3"/>
      <c r="BH92" s="11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3"/>
      <c r="BV92" s="1"/>
      <c r="BW92" s="1"/>
      <c r="BX92" s="61"/>
      <c r="CN92" s="34"/>
      <c r="CO92" s="1"/>
      <c r="CP92" s="1"/>
    </row>
    <row r="93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48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6"/>
      <c r="BH93" s="48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6"/>
      <c r="BV93" s="1"/>
      <c r="BW93" s="1"/>
      <c r="BX93" s="61"/>
      <c r="CN93" s="34"/>
      <c r="CO93" s="1"/>
      <c r="CP93" s="1"/>
    </row>
    <row r="94" ht="11.25" customHeight="1">
      <c r="A94" s="1"/>
      <c r="B94" s="1"/>
      <c r="C94" s="4" t="s">
        <v>142</v>
      </c>
      <c r="D94" s="5"/>
      <c r="E94" s="5"/>
      <c r="F94" s="5"/>
      <c r="G94" s="5"/>
      <c r="H94" s="6"/>
      <c r="I94" s="48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6"/>
      <c r="AR94" s="1"/>
      <c r="AS94" s="1"/>
      <c r="AT94" s="11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3"/>
      <c r="BH94" s="11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3"/>
      <c r="BV94" s="1"/>
      <c r="BW94" s="1"/>
      <c r="BX94" s="61"/>
      <c r="CN94" s="34"/>
      <c r="CO94" s="1"/>
      <c r="CP94" s="1"/>
    </row>
    <row r="95" ht="11.25" customHeight="1">
      <c r="A95" s="1"/>
      <c r="B95" s="1"/>
      <c r="C95" s="11"/>
      <c r="D95" s="12"/>
      <c r="E95" s="12"/>
      <c r="F95" s="12"/>
      <c r="G95" s="12"/>
      <c r="H95" s="13"/>
      <c r="I95" s="11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3"/>
      <c r="AR95" s="1"/>
      <c r="AS95" s="1"/>
      <c r="AT95" s="48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6"/>
      <c r="BH95" s="48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6"/>
      <c r="BV95" s="1"/>
      <c r="BW95" s="1"/>
      <c r="BX95" s="61"/>
      <c r="CN95" s="34"/>
      <c r="CO95" s="1"/>
      <c r="CP95" s="1"/>
    </row>
    <row r="9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1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3"/>
      <c r="BH96" s="11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3"/>
      <c r="BV96" s="1"/>
      <c r="BW96" s="1"/>
      <c r="BX96" s="61"/>
      <c r="CN96" s="34"/>
      <c r="CO96" s="1"/>
      <c r="CP96" s="1"/>
    </row>
    <row r="97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48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6"/>
      <c r="BH97" s="48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6"/>
      <c r="BV97" s="1"/>
      <c r="BW97" s="1"/>
      <c r="BX97" s="61"/>
      <c r="CN97" s="34"/>
      <c r="CO97" s="1"/>
      <c r="CP97" s="1"/>
    </row>
    <row r="98" ht="11.25" customHeight="1">
      <c r="A98" s="1"/>
      <c r="B98" s="1"/>
      <c r="C98" s="4" t="s">
        <v>143</v>
      </c>
      <c r="D98" s="5"/>
      <c r="E98" s="5"/>
      <c r="F98" s="5"/>
      <c r="G98" s="5"/>
      <c r="H98" s="6"/>
      <c r="I98" s="48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6"/>
      <c r="AF98" s="1"/>
      <c r="AG98" s="4" t="s">
        <v>71</v>
      </c>
      <c r="AH98" s="5"/>
      <c r="AI98" s="5"/>
      <c r="AJ98" s="5"/>
      <c r="AK98" s="6"/>
      <c r="AL98" s="48"/>
      <c r="AM98" s="5"/>
      <c r="AN98" s="5"/>
      <c r="AO98" s="5"/>
      <c r="AP98" s="5"/>
      <c r="AQ98" s="6"/>
      <c r="AR98" s="1"/>
      <c r="AS98" s="1"/>
      <c r="AT98" s="11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3"/>
      <c r="BH98" s="11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3"/>
      <c r="BV98" s="1"/>
      <c r="BW98" s="1"/>
      <c r="BX98" s="61"/>
      <c r="CN98" s="34"/>
      <c r="CO98" s="1"/>
      <c r="CP98" s="1"/>
    </row>
    <row r="99" ht="11.25" customHeight="1">
      <c r="A99" s="1"/>
      <c r="B99" s="1"/>
      <c r="C99" s="11"/>
      <c r="D99" s="12"/>
      <c r="E99" s="12"/>
      <c r="F99" s="12"/>
      <c r="G99" s="12"/>
      <c r="H99" s="13"/>
      <c r="I99" s="11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3"/>
      <c r="AF99" s="1"/>
      <c r="AG99" s="11"/>
      <c r="AH99" s="12"/>
      <c r="AI99" s="12"/>
      <c r="AJ99" s="12"/>
      <c r="AK99" s="13"/>
      <c r="AL99" s="11"/>
      <c r="AM99" s="12"/>
      <c r="AN99" s="12"/>
      <c r="AO99" s="12"/>
      <c r="AP99" s="12"/>
      <c r="AQ99" s="13"/>
      <c r="AR99" s="1"/>
      <c r="AS99" s="1"/>
      <c r="AT99" s="48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6"/>
      <c r="BH99" s="48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6"/>
      <c r="BV99" s="1"/>
      <c r="BW99" s="1"/>
      <c r="BX99" s="61"/>
      <c r="CN99" s="34"/>
      <c r="CO99" s="1"/>
      <c r="CP99" s="1"/>
    </row>
    <row r="100" ht="11.25" customHeight="1">
      <c r="A100" s="1"/>
      <c r="B100" s="1"/>
      <c r="C100" s="1"/>
      <c r="D100" s="1"/>
      <c r="E100" s="1"/>
      <c r="F100" s="1"/>
      <c r="G100" s="1"/>
      <c r="H100" s="20" t="s">
        <v>29</v>
      </c>
      <c r="K100" s="20" t="s">
        <v>22</v>
      </c>
      <c r="N100" s="20" t="s">
        <v>128</v>
      </c>
      <c r="Q100" s="20" t="s">
        <v>24</v>
      </c>
      <c r="T100" s="20"/>
      <c r="U100" s="20"/>
      <c r="V100" s="20"/>
      <c r="W100" s="1"/>
      <c r="X100" s="1"/>
      <c r="Y100" s="20"/>
      <c r="Z100" s="20" t="s">
        <v>139</v>
      </c>
      <c r="AE100" s="20"/>
      <c r="AF100" s="20" t="s">
        <v>29</v>
      </c>
      <c r="AI100" s="20" t="s">
        <v>22</v>
      </c>
      <c r="AL100" s="20" t="s">
        <v>140</v>
      </c>
      <c r="AO100" s="20" t="s">
        <v>24</v>
      </c>
      <c r="AR100" s="1"/>
      <c r="AS100" s="1"/>
      <c r="AT100" s="11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3"/>
      <c r="BH100" s="11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3"/>
      <c r="BV100" s="1"/>
      <c r="BW100" s="1"/>
      <c r="BX100" s="61"/>
      <c r="CN100" s="34"/>
      <c r="CO100" s="1"/>
      <c r="CP100" s="1"/>
    </row>
    <row r="101" ht="11.25" customHeight="1">
      <c r="A101" s="1"/>
      <c r="B101" s="1"/>
      <c r="C101" s="4" t="s">
        <v>135</v>
      </c>
      <c r="D101" s="5"/>
      <c r="E101" s="5"/>
      <c r="F101" s="5"/>
      <c r="G101" s="6"/>
      <c r="H101" s="26">
        <f>Sum(K101:Q101)</f>
        <v>1</v>
      </c>
      <c r="I101" s="5"/>
      <c r="J101" s="6"/>
      <c r="K101" s="9">
        <f>$H$84</f>
        <v>1</v>
      </c>
      <c r="L101" s="5"/>
      <c r="M101" s="6"/>
      <c r="N101" s="14"/>
      <c r="O101" s="5"/>
      <c r="P101" s="6"/>
      <c r="Q101" s="14"/>
      <c r="R101" s="5"/>
      <c r="S101" s="6"/>
      <c r="T101" s="2"/>
      <c r="U101" s="68" t="s">
        <v>136</v>
      </c>
      <c r="V101" s="5"/>
      <c r="W101" s="5"/>
      <c r="X101" s="5"/>
      <c r="Y101" s="6"/>
      <c r="Z101" s="23" t="s">
        <v>141</v>
      </c>
      <c r="AA101" s="5"/>
      <c r="AB101" s="5"/>
      <c r="AC101" s="5"/>
      <c r="AD101" s="6"/>
      <c r="AE101" s="69" t="str">
        <f>IF(Z101="","","+")</f>
        <v>+</v>
      </c>
      <c r="AF101" s="26">
        <f>Sum(AI101:AO101)</f>
        <v>0</v>
      </c>
      <c r="AG101" s="5"/>
      <c r="AH101" s="6"/>
      <c r="AI101" s="9">
        <f>$AF$84</f>
        <v>0</v>
      </c>
      <c r="AJ101" s="5"/>
      <c r="AK101" s="6"/>
      <c r="AL101" s="48"/>
      <c r="AM101" s="5"/>
      <c r="AN101" s="6"/>
      <c r="AO101" s="48"/>
      <c r="AP101" s="5"/>
      <c r="AQ101" s="6"/>
      <c r="AR101" s="1"/>
      <c r="AS101" s="1"/>
      <c r="AT101" s="48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6"/>
      <c r="BH101" s="48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6"/>
      <c r="BV101" s="1"/>
      <c r="BW101" s="1"/>
      <c r="BX101" s="61"/>
      <c r="CN101" s="34"/>
      <c r="CO101" s="1"/>
      <c r="CP101" s="1"/>
    </row>
    <row r="102" ht="11.25" customHeight="1">
      <c r="A102" s="1"/>
      <c r="B102" s="1"/>
      <c r="C102" s="11"/>
      <c r="D102" s="12"/>
      <c r="E102" s="12"/>
      <c r="F102" s="12"/>
      <c r="G102" s="13"/>
      <c r="H102" s="11"/>
      <c r="I102" s="12"/>
      <c r="J102" s="13"/>
      <c r="K102" s="11"/>
      <c r="L102" s="12"/>
      <c r="M102" s="13"/>
      <c r="N102" s="11"/>
      <c r="O102" s="12"/>
      <c r="P102" s="13"/>
      <c r="Q102" s="11"/>
      <c r="R102" s="12"/>
      <c r="S102" s="13"/>
      <c r="T102" s="2"/>
      <c r="U102" s="12"/>
      <c r="V102" s="12"/>
      <c r="W102" s="12"/>
      <c r="X102" s="12"/>
      <c r="Y102" s="13"/>
      <c r="Z102" s="11"/>
      <c r="AA102" s="12"/>
      <c r="AB102" s="12"/>
      <c r="AC102" s="12"/>
      <c r="AD102" s="13"/>
      <c r="AF102" s="11"/>
      <c r="AG102" s="12"/>
      <c r="AH102" s="13"/>
      <c r="AI102" s="11"/>
      <c r="AJ102" s="12"/>
      <c r="AK102" s="13"/>
      <c r="AL102" s="11"/>
      <c r="AM102" s="12"/>
      <c r="AN102" s="13"/>
      <c r="AO102" s="11"/>
      <c r="AP102" s="12"/>
      <c r="AQ102" s="13"/>
      <c r="AR102" s="1"/>
      <c r="AS102" s="1"/>
      <c r="AT102" s="11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3"/>
      <c r="BH102" s="11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3"/>
      <c r="BV102" s="1"/>
      <c r="BW102" s="1"/>
      <c r="BX102" s="61"/>
      <c r="CN102" s="34"/>
      <c r="CO102" s="1"/>
      <c r="CP102" s="1"/>
    </row>
    <row r="103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61"/>
      <c r="CN103" s="34"/>
      <c r="CO103" s="1"/>
      <c r="CP103" s="1"/>
    </row>
    <row r="104" ht="11.25" customHeight="1">
      <c r="A104" s="1"/>
      <c r="B104" s="1"/>
      <c r="C104" s="4" t="s">
        <v>142</v>
      </c>
      <c r="D104" s="5"/>
      <c r="E104" s="5"/>
      <c r="F104" s="5"/>
      <c r="G104" s="5"/>
      <c r="H104" s="6"/>
      <c r="I104" s="48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6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61"/>
      <c r="CN104" s="34"/>
      <c r="CO104" s="1"/>
      <c r="CP104" s="1"/>
    </row>
    <row r="105" ht="11.25" customHeight="1">
      <c r="A105" s="1"/>
      <c r="B105" s="1"/>
      <c r="C105" s="11"/>
      <c r="D105" s="12"/>
      <c r="E105" s="12"/>
      <c r="F105" s="12"/>
      <c r="G105" s="12"/>
      <c r="H105" s="13"/>
      <c r="I105" s="11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3"/>
      <c r="AR105" s="1"/>
      <c r="AS105" s="1"/>
      <c r="AT105" s="8" t="s">
        <v>144</v>
      </c>
      <c r="BV105" s="1"/>
      <c r="BW105" s="1"/>
      <c r="BX105" s="61"/>
      <c r="CN105" s="34"/>
      <c r="CO105" s="1"/>
      <c r="CP105" s="1"/>
    </row>
    <row r="10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BV106" s="1"/>
      <c r="BW106" s="1"/>
      <c r="BX106" s="61"/>
      <c r="CN106" s="34"/>
      <c r="CO106" s="1"/>
      <c r="CP106" s="1"/>
    </row>
    <row r="107" ht="11.25" customHeight="1">
      <c r="A107" s="1"/>
      <c r="B107" s="1"/>
      <c r="C107" s="70"/>
      <c r="D107" s="70"/>
      <c r="E107" s="70"/>
      <c r="F107" s="70"/>
      <c r="G107" s="70"/>
      <c r="H107" s="70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2"/>
      <c r="AG107" s="70"/>
      <c r="AH107" s="70"/>
      <c r="AI107" s="70"/>
      <c r="AJ107" s="70"/>
      <c r="AK107" s="70"/>
      <c r="AL107" s="71"/>
      <c r="AM107" s="71"/>
      <c r="AN107" s="71"/>
      <c r="AO107" s="71"/>
      <c r="AP107" s="71"/>
      <c r="AQ107" s="7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61"/>
      <c r="CN107" s="34"/>
      <c r="CO107" s="1"/>
      <c r="CP107" s="1"/>
    </row>
    <row r="108" ht="11.25" customHeight="1">
      <c r="A108" s="1"/>
      <c r="B108" s="1"/>
      <c r="C108" s="4" t="s">
        <v>145</v>
      </c>
      <c r="D108" s="5"/>
      <c r="E108" s="5"/>
      <c r="F108" s="5"/>
      <c r="G108" s="5"/>
      <c r="H108" s="6"/>
      <c r="I108" s="48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6"/>
      <c r="AF108" s="1"/>
      <c r="AG108" s="4" t="s">
        <v>71</v>
      </c>
      <c r="AH108" s="5"/>
      <c r="AI108" s="5"/>
      <c r="AJ108" s="5"/>
      <c r="AK108" s="6"/>
      <c r="AL108" s="48"/>
      <c r="AM108" s="5"/>
      <c r="AN108" s="5"/>
      <c r="AO108" s="5"/>
      <c r="AP108" s="5"/>
      <c r="AQ108" s="6"/>
      <c r="AR108" s="1"/>
      <c r="AS108" s="1"/>
      <c r="AT108" s="20" t="s">
        <v>42</v>
      </c>
      <c r="AV108" s="20" t="s">
        <v>146</v>
      </c>
      <c r="BE108" s="20" t="s">
        <v>147</v>
      </c>
      <c r="BV108" s="1"/>
      <c r="BW108" s="1"/>
      <c r="BX108" s="61"/>
      <c r="CN108" s="34"/>
      <c r="CO108" s="1"/>
      <c r="CP108" s="1"/>
    </row>
    <row r="109" ht="11.25" customHeight="1">
      <c r="A109" s="1"/>
      <c r="B109" s="1"/>
      <c r="C109" s="11"/>
      <c r="D109" s="12"/>
      <c r="E109" s="12"/>
      <c r="F109" s="12"/>
      <c r="G109" s="12"/>
      <c r="H109" s="13"/>
      <c r="I109" s="11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3"/>
      <c r="AF109" s="1"/>
      <c r="AG109" s="11"/>
      <c r="AH109" s="12"/>
      <c r="AI109" s="12"/>
      <c r="AJ109" s="12"/>
      <c r="AK109" s="13"/>
      <c r="AL109" s="11"/>
      <c r="AM109" s="12"/>
      <c r="AN109" s="12"/>
      <c r="AO109" s="12"/>
      <c r="AP109" s="12"/>
      <c r="AQ109" s="13"/>
      <c r="AR109" s="1"/>
      <c r="AS109" s="1"/>
      <c r="AT109" s="73">
        <f>IF($AF$11="No",1,6)</f>
        <v>1</v>
      </c>
      <c r="AV109" s="8" t="s">
        <v>148</v>
      </c>
      <c r="BE109" s="48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6"/>
      <c r="BV109" s="1"/>
      <c r="BW109" s="1"/>
      <c r="BX109" s="11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3"/>
      <c r="CO109" s="1"/>
      <c r="CP109" s="1"/>
    </row>
    <row r="110" ht="11.25" customHeight="1">
      <c r="A110" s="1"/>
      <c r="B110" s="1"/>
      <c r="C110" s="1"/>
      <c r="D110" s="1"/>
      <c r="E110" s="1"/>
      <c r="F110" s="1"/>
      <c r="G110" s="1"/>
      <c r="H110" s="20" t="s">
        <v>29</v>
      </c>
      <c r="K110" s="20" t="s">
        <v>22</v>
      </c>
      <c r="N110" s="20" t="s">
        <v>128</v>
      </c>
      <c r="Q110" s="20" t="s">
        <v>24</v>
      </c>
      <c r="T110" s="20"/>
      <c r="U110" s="20"/>
      <c r="V110" s="20"/>
      <c r="W110" s="1"/>
      <c r="X110" s="1"/>
      <c r="Y110" s="20"/>
      <c r="Z110" s="20" t="s">
        <v>139</v>
      </c>
      <c r="AE110" s="20"/>
      <c r="AF110" s="20" t="s">
        <v>29</v>
      </c>
      <c r="AI110" s="20" t="s">
        <v>22</v>
      </c>
      <c r="AL110" s="20" t="s">
        <v>140</v>
      </c>
      <c r="AO110" s="20" t="s">
        <v>24</v>
      </c>
      <c r="AR110" s="1"/>
      <c r="AS110" s="1"/>
      <c r="BE110" s="11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3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</row>
    <row r="111" ht="11.25" customHeight="1">
      <c r="A111" s="1"/>
      <c r="B111" s="1"/>
      <c r="C111" s="4" t="s">
        <v>135</v>
      </c>
      <c r="D111" s="5"/>
      <c r="E111" s="5"/>
      <c r="F111" s="5"/>
      <c r="G111" s="6"/>
      <c r="H111" s="26">
        <f>Sum(K111:Q111)</f>
        <v>1</v>
      </c>
      <c r="I111" s="5"/>
      <c r="J111" s="6"/>
      <c r="K111" s="9">
        <f>$H$84</f>
        <v>1</v>
      </c>
      <c r="L111" s="5"/>
      <c r="M111" s="6"/>
      <c r="N111" s="14"/>
      <c r="O111" s="5"/>
      <c r="P111" s="6"/>
      <c r="Q111" s="14"/>
      <c r="R111" s="5"/>
      <c r="S111" s="6"/>
      <c r="T111" s="2"/>
      <c r="U111" s="68" t="s">
        <v>136</v>
      </c>
      <c r="V111" s="5"/>
      <c r="W111" s="5"/>
      <c r="X111" s="5"/>
      <c r="Y111" s="6"/>
      <c r="Z111" s="23" t="s">
        <v>141</v>
      </c>
      <c r="AA111" s="5"/>
      <c r="AB111" s="5"/>
      <c r="AC111" s="5"/>
      <c r="AD111" s="6"/>
      <c r="AE111" s="69" t="str">
        <f>IF(Z111="","","+")</f>
        <v>+</v>
      </c>
      <c r="AF111" s="26">
        <f>Sum(AI111:AO111)</f>
        <v>0</v>
      </c>
      <c r="AG111" s="5"/>
      <c r="AH111" s="6"/>
      <c r="AI111" s="9">
        <f>$AF$84</f>
        <v>0</v>
      </c>
      <c r="AJ111" s="5"/>
      <c r="AK111" s="6"/>
      <c r="AL111" s="48"/>
      <c r="AM111" s="5"/>
      <c r="AN111" s="6"/>
      <c r="AO111" s="48"/>
      <c r="AP111" s="5"/>
      <c r="AQ111" s="6"/>
      <c r="AR111" s="1"/>
      <c r="AS111" s="1"/>
      <c r="AT111" s="73">
        <f>IF($AF$11="No",4,"")</f>
        <v>4</v>
      </c>
      <c r="AV111" s="8" t="s">
        <v>149</v>
      </c>
      <c r="BE111" s="48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6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</row>
    <row r="112" ht="11.25" customHeight="1">
      <c r="A112" s="1"/>
      <c r="B112" s="1"/>
      <c r="C112" s="11"/>
      <c r="D112" s="12"/>
      <c r="E112" s="12"/>
      <c r="F112" s="12"/>
      <c r="G112" s="13"/>
      <c r="H112" s="11"/>
      <c r="I112" s="12"/>
      <c r="J112" s="13"/>
      <c r="K112" s="11"/>
      <c r="L112" s="12"/>
      <c r="M112" s="13"/>
      <c r="N112" s="11"/>
      <c r="O112" s="12"/>
      <c r="P112" s="13"/>
      <c r="Q112" s="11"/>
      <c r="R112" s="12"/>
      <c r="S112" s="13"/>
      <c r="T112" s="2"/>
      <c r="U112" s="12"/>
      <c r="V112" s="12"/>
      <c r="W112" s="12"/>
      <c r="X112" s="12"/>
      <c r="Y112" s="13"/>
      <c r="Z112" s="11"/>
      <c r="AA112" s="12"/>
      <c r="AB112" s="12"/>
      <c r="AC112" s="12"/>
      <c r="AD112" s="13"/>
      <c r="AF112" s="11"/>
      <c r="AG112" s="12"/>
      <c r="AH112" s="13"/>
      <c r="AI112" s="11"/>
      <c r="AJ112" s="12"/>
      <c r="AK112" s="13"/>
      <c r="AL112" s="11"/>
      <c r="AM112" s="12"/>
      <c r="AN112" s="13"/>
      <c r="AO112" s="11"/>
      <c r="AP112" s="12"/>
      <c r="AQ112" s="13"/>
      <c r="AR112" s="1"/>
      <c r="AS112" s="1"/>
      <c r="BE112" s="11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3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</row>
    <row r="113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73">
        <f>IF($AF$11="No",7,"")</f>
        <v>7</v>
      </c>
      <c r="AV113" s="8" t="s">
        <v>150</v>
      </c>
      <c r="BE113" s="48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6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</row>
    <row r="114" ht="11.25" customHeight="1">
      <c r="A114" s="1"/>
      <c r="B114" s="1"/>
      <c r="C114" s="4" t="s">
        <v>142</v>
      </c>
      <c r="D114" s="5"/>
      <c r="E114" s="5"/>
      <c r="F114" s="5"/>
      <c r="G114" s="5"/>
      <c r="H114" s="6"/>
      <c r="I114" s="48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6"/>
      <c r="AR114" s="1"/>
      <c r="AS114" s="1"/>
      <c r="BE114" s="11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3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</row>
    <row r="115" ht="11.25" customHeight="1">
      <c r="A115" s="1"/>
      <c r="B115" s="1"/>
      <c r="C115" s="11"/>
      <c r="D115" s="12"/>
      <c r="E115" s="12"/>
      <c r="F115" s="12"/>
      <c r="G115" s="12"/>
      <c r="H115" s="13"/>
      <c r="I115" s="11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3"/>
      <c r="AR115" s="1"/>
      <c r="AS115" s="1"/>
      <c r="AT115" s="73">
        <f>IF($AF$11="No",11,"")</f>
        <v>11</v>
      </c>
      <c r="AV115" s="8" t="s">
        <v>151</v>
      </c>
      <c r="BE115" s="48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6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</row>
    <row r="116" ht="11.25" customHeight="1">
      <c r="A116" s="1"/>
      <c r="B116" s="1"/>
      <c r="C116" s="74"/>
      <c r="D116" s="74"/>
      <c r="E116" s="74"/>
      <c r="F116" s="74"/>
      <c r="G116" s="74"/>
      <c r="H116" s="74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4"/>
      <c r="AH116" s="74"/>
      <c r="AI116" s="74"/>
      <c r="AJ116" s="74"/>
      <c r="AK116" s="74"/>
      <c r="AL116" s="72"/>
      <c r="AM116" s="72"/>
      <c r="AN116" s="72"/>
      <c r="AO116" s="72"/>
      <c r="AP116" s="72"/>
      <c r="AQ116" s="72"/>
      <c r="AR116" s="1"/>
      <c r="AS116" s="1"/>
      <c r="BE116" s="11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3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</row>
    <row r="117" ht="11.25" customHeight="1">
      <c r="A117" s="1"/>
      <c r="B117" s="1"/>
      <c r="C117" s="71"/>
      <c r="D117" s="71"/>
      <c r="E117" s="71"/>
      <c r="F117" s="71"/>
      <c r="G117" s="71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1"/>
      <c r="X117" s="71"/>
      <c r="Y117" s="70"/>
      <c r="Z117" s="70"/>
      <c r="AA117" s="70"/>
      <c r="AB117" s="70"/>
      <c r="AC117" s="70"/>
      <c r="AD117" s="70"/>
      <c r="AE117" s="70"/>
      <c r="AF117" s="74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1"/>
      <c r="AS117" s="1"/>
      <c r="AT117" s="73">
        <f>IF($AF$11="No",19,"")</f>
        <v>19</v>
      </c>
      <c r="AV117" s="8" t="s">
        <v>152</v>
      </c>
      <c r="BE117" s="48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6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</row>
    <row r="118" ht="11.25" customHeight="1">
      <c r="A118" s="1"/>
      <c r="B118" s="1"/>
      <c r="C118" s="4" t="s">
        <v>153</v>
      </c>
      <c r="D118" s="5"/>
      <c r="E118" s="5"/>
      <c r="F118" s="5"/>
      <c r="G118" s="5"/>
      <c r="H118" s="6"/>
      <c r="I118" s="48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6"/>
      <c r="AF118" s="1"/>
      <c r="AG118" s="4" t="s">
        <v>71</v>
      </c>
      <c r="AH118" s="5"/>
      <c r="AI118" s="5"/>
      <c r="AJ118" s="5"/>
      <c r="AK118" s="6"/>
      <c r="AL118" s="48"/>
      <c r="AM118" s="5"/>
      <c r="AN118" s="5"/>
      <c r="AO118" s="5"/>
      <c r="AP118" s="5"/>
      <c r="AQ118" s="6"/>
      <c r="AR118" s="1"/>
      <c r="AS118" s="1"/>
      <c r="BE118" s="11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3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</row>
    <row r="119" ht="11.25" customHeight="1">
      <c r="A119" s="1"/>
      <c r="B119" s="1"/>
      <c r="C119" s="11"/>
      <c r="D119" s="12"/>
      <c r="E119" s="12"/>
      <c r="F119" s="12"/>
      <c r="G119" s="12"/>
      <c r="H119" s="13"/>
      <c r="I119" s="11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3"/>
      <c r="AF119" s="1"/>
      <c r="AG119" s="11"/>
      <c r="AH119" s="12"/>
      <c r="AI119" s="12"/>
      <c r="AJ119" s="12"/>
      <c r="AK119" s="13"/>
      <c r="AL119" s="11"/>
      <c r="AM119" s="12"/>
      <c r="AN119" s="12"/>
      <c r="AO119" s="12"/>
      <c r="AP119" s="12"/>
      <c r="AQ119" s="13"/>
      <c r="AR119" s="1"/>
      <c r="AS119" s="1"/>
      <c r="AT119" s="73">
        <f>IF($AF$11="No",5,11)</f>
        <v>5</v>
      </c>
      <c r="AV119" s="8" t="s">
        <v>154</v>
      </c>
      <c r="BE119" s="48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6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</row>
    <row r="120" ht="11.25" customHeight="1">
      <c r="A120" s="1"/>
      <c r="B120" s="1"/>
      <c r="C120" s="1"/>
      <c r="D120" s="1"/>
      <c r="E120" s="1"/>
      <c r="F120" s="1"/>
      <c r="G120" s="1"/>
      <c r="H120" s="20" t="s">
        <v>29</v>
      </c>
      <c r="K120" s="20" t="s">
        <v>22</v>
      </c>
      <c r="N120" s="20" t="s">
        <v>128</v>
      </c>
      <c r="Q120" s="20" t="s">
        <v>24</v>
      </c>
      <c r="T120" s="20"/>
      <c r="U120" s="20"/>
      <c r="V120" s="20"/>
      <c r="W120" s="1"/>
      <c r="X120" s="1"/>
      <c r="Y120" s="20"/>
      <c r="Z120" s="20" t="s">
        <v>139</v>
      </c>
      <c r="AE120" s="20"/>
      <c r="AF120" s="20" t="s">
        <v>29</v>
      </c>
      <c r="AI120" s="20" t="s">
        <v>22</v>
      </c>
      <c r="AL120" s="20" t="s">
        <v>140</v>
      </c>
      <c r="AO120" s="20" t="s">
        <v>24</v>
      </c>
      <c r="AR120" s="1"/>
      <c r="AS120" s="1"/>
      <c r="BE120" s="11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3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</row>
    <row r="121" ht="11.25" customHeight="1">
      <c r="A121" s="1"/>
      <c r="B121" s="1"/>
      <c r="C121" s="4" t="s">
        <v>135</v>
      </c>
      <c r="D121" s="5"/>
      <c r="E121" s="5"/>
      <c r="F121" s="5"/>
      <c r="G121" s="6"/>
      <c r="H121" s="26">
        <f>Sum(K121:Q121)</f>
        <v>1</v>
      </c>
      <c r="I121" s="5"/>
      <c r="J121" s="6"/>
      <c r="K121" s="9">
        <f>$H$84</f>
        <v>1</v>
      </c>
      <c r="L121" s="5"/>
      <c r="M121" s="6"/>
      <c r="N121" s="14"/>
      <c r="O121" s="5"/>
      <c r="P121" s="6"/>
      <c r="Q121" s="14"/>
      <c r="R121" s="5"/>
      <c r="S121" s="6"/>
      <c r="T121" s="2"/>
      <c r="U121" s="68" t="s">
        <v>136</v>
      </c>
      <c r="V121" s="5"/>
      <c r="W121" s="5"/>
      <c r="X121" s="5"/>
      <c r="Y121" s="6"/>
      <c r="Z121" s="23" t="s">
        <v>141</v>
      </c>
      <c r="AA121" s="5"/>
      <c r="AB121" s="5"/>
      <c r="AC121" s="5"/>
      <c r="AD121" s="6"/>
      <c r="AE121" s="69" t="str">
        <f>IF(Z121="","","+")</f>
        <v>+</v>
      </c>
      <c r="AF121" s="26">
        <f>Sum(AI121:AO121)</f>
        <v>0</v>
      </c>
      <c r="AG121" s="5"/>
      <c r="AH121" s="6"/>
      <c r="AI121" s="9">
        <f>$AF$84</f>
        <v>0</v>
      </c>
      <c r="AJ121" s="5"/>
      <c r="AK121" s="6"/>
      <c r="AL121" s="48"/>
      <c r="AM121" s="5"/>
      <c r="AN121" s="6"/>
      <c r="AO121" s="48"/>
      <c r="AP121" s="5"/>
      <c r="AQ121" s="6"/>
      <c r="AR121" s="1"/>
      <c r="AS121" s="1"/>
      <c r="AT121" s="73">
        <f>IF($AF$11="No",8,"")</f>
        <v>8</v>
      </c>
      <c r="AV121" s="8" t="s">
        <v>155</v>
      </c>
      <c r="BE121" s="48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6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</row>
    <row r="122" ht="11.25" customHeight="1">
      <c r="A122" s="1"/>
      <c r="B122" s="1"/>
      <c r="C122" s="11"/>
      <c r="D122" s="12"/>
      <c r="E122" s="12"/>
      <c r="F122" s="12"/>
      <c r="G122" s="13"/>
      <c r="H122" s="11"/>
      <c r="I122" s="12"/>
      <c r="J122" s="13"/>
      <c r="K122" s="11"/>
      <c r="L122" s="12"/>
      <c r="M122" s="13"/>
      <c r="N122" s="11"/>
      <c r="O122" s="12"/>
      <c r="P122" s="13"/>
      <c r="Q122" s="11"/>
      <c r="R122" s="12"/>
      <c r="S122" s="13"/>
      <c r="T122" s="2"/>
      <c r="U122" s="12"/>
      <c r="V122" s="12"/>
      <c r="W122" s="12"/>
      <c r="X122" s="12"/>
      <c r="Y122" s="13"/>
      <c r="Z122" s="11"/>
      <c r="AA122" s="12"/>
      <c r="AB122" s="12"/>
      <c r="AC122" s="12"/>
      <c r="AD122" s="13"/>
      <c r="AF122" s="11"/>
      <c r="AG122" s="12"/>
      <c r="AH122" s="13"/>
      <c r="AI122" s="11"/>
      <c r="AJ122" s="12"/>
      <c r="AK122" s="13"/>
      <c r="AL122" s="11"/>
      <c r="AM122" s="12"/>
      <c r="AN122" s="13"/>
      <c r="AO122" s="11"/>
      <c r="AP122" s="12"/>
      <c r="AQ122" s="13"/>
      <c r="AR122" s="1"/>
      <c r="AS122" s="1"/>
      <c r="BE122" s="11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3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</row>
    <row r="123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73">
        <f>IF($AF$11="No",13,"")</f>
        <v>13</v>
      </c>
      <c r="AV123" s="8" t="s">
        <v>156</v>
      </c>
      <c r="BE123" s="48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6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</row>
    <row r="124" ht="11.25" customHeight="1">
      <c r="A124" s="1"/>
      <c r="B124" s="1"/>
      <c r="C124" s="4" t="s">
        <v>142</v>
      </c>
      <c r="D124" s="5"/>
      <c r="E124" s="5"/>
      <c r="F124" s="5"/>
      <c r="G124" s="5"/>
      <c r="H124" s="6"/>
      <c r="I124" s="48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6"/>
      <c r="AR124" s="1"/>
      <c r="AS124" s="1"/>
      <c r="BE124" s="11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3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</row>
    <row r="125" ht="11.25" customHeight="1">
      <c r="A125" s="1"/>
      <c r="B125" s="1"/>
      <c r="C125" s="11"/>
      <c r="D125" s="12"/>
      <c r="E125" s="12"/>
      <c r="F125" s="12"/>
      <c r="G125" s="12"/>
      <c r="H125" s="13"/>
      <c r="I125" s="11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3"/>
      <c r="AR125" s="1"/>
      <c r="AS125" s="1"/>
      <c r="AT125" s="73">
        <f>IF($AF$11="No",16,"")</f>
        <v>16</v>
      </c>
      <c r="AV125" s="8" t="s">
        <v>157</v>
      </c>
      <c r="BE125" s="48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6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</row>
    <row r="126" ht="11.25" customHeight="1">
      <c r="A126" s="1"/>
      <c r="B126" s="1"/>
      <c r="C126" s="72"/>
      <c r="D126" s="72"/>
      <c r="E126" s="72"/>
      <c r="F126" s="72"/>
      <c r="G126" s="72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2"/>
      <c r="X126" s="72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1"/>
      <c r="AS126" s="1"/>
      <c r="BE126" s="11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3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</row>
    <row r="127" ht="11.25" customHeight="1">
      <c r="A127" s="1"/>
      <c r="B127" s="1"/>
      <c r="C127" s="74"/>
      <c r="D127" s="74"/>
      <c r="E127" s="74"/>
      <c r="F127" s="74"/>
      <c r="G127" s="74"/>
      <c r="H127" s="72"/>
      <c r="I127" s="72"/>
      <c r="J127" s="72"/>
      <c r="K127" s="72"/>
      <c r="L127" s="72"/>
      <c r="M127" s="72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1"/>
      <c r="AS127" s="1"/>
      <c r="AT127" s="73">
        <f>IF($AF$11="No",10,17)</f>
        <v>10</v>
      </c>
      <c r="AV127" s="8" t="s">
        <v>158</v>
      </c>
      <c r="BE127" s="48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6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</row>
    <row r="128" ht="11.25" customHeight="1">
      <c r="A128" s="1"/>
      <c r="B128" s="1"/>
      <c r="C128" s="4" t="s">
        <v>159</v>
      </c>
      <c r="D128" s="5"/>
      <c r="E128" s="5"/>
      <c r="F128" s="5"/>
      <c r="G128" s="5"/>
      <c r="H128" s="6"/>
      <c r="I128" s="48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6"/>
      <c r="AF128" s="1"/>
      <c r="AG128" s="4" t="s">
        <v>71</v>
      </c>
      <c r="AH128" s="5"/>
      <c r="AI128" s="5"/>
      <c r="AJ128" s="5"/>
      <c r="AK128" s="6"/>
      <c r="AL128" s="48"/>
      <c r="AM128" s="5"/>
      <c r="AN128" s="5"/>
      <c r="AO128" s="5"/>
      <c r="AP128" s="5"/>
      <c r="AQ128" s="6"/>
      <c r="AR128" s="1"/>
      <c r="AS128" s="1"/>
      <c r="BE128" s="11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3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</row>
    <row r="129" ht="11.25" customHeight="1">
      <c r="A129" s="1"/>
      <c r="B129" s="1"/>
      <c r="C129" s="11"/>
      <c r="D129" s="12"/>
      <c r="E129" s="12"/>
      <c r="F129" s="12"/>
      <c r="G129" s="12"/>
      <c r="H129" s="13"/>
      <c r="I129" s="11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3"/>
      <c r="AF129" s="1"/>
      <c r="AG129" s="11"/>
      <c r="AH129" s="12"/>
      <c r="AI129" s="12"/>
      <c r="AJ129" s="12"/>
      <c r="AK129" s="13"/>
      <c r="AL129" s="11"/>
      <c r="AM129" s="12"/>
      <c r="AN129" s="12"/>
      <c r="AO129" s="12"/>
      <c r="AP129" s="12"/>
      <c r="AQ129" s="13"/>
      <c r="AR129" s="1"/>
      <c r="AS129" s="1"/>
      <c r="AT129" s="73">
        <f>IF($AF$11="No",14,"")</f>
        <v>14</v>
      </c>
      <c r="AV129" s="8" t="s">
        <v>160</v>
      </c>
      <c r="BE129" s="48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6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</row>
    <row r="130" ht="11.25" customHeight="1">
      <c r="A130" s="1"/>
      <c r="B130" s="1"/>
      <c r="C130" s="1"/>
      <c r="D130" s="1"/>
      <c r="E130" s="1"/>
      <c r="F130" s="1"/>
      <c r="G130" s="1"/>
      <c r="H130" s="20" t="s">
        <v>29</v>
      </c>
      <c r="K130" s="20" t="s">
        <v>22</v>
      </c>
      <c r="N130" s="20" t="s">
        <v>128</v>
      </c>
      <c r="Q130" s="20" t="s">
        <v>24</v>
      </c>
      <c r="T130" s="20"/>
      <c r="U130" s="20"/>
      <c r="V130" s="20"/>
      <c r="W130" s="1"/>
      <c r="X130" s="1"/>
      <c r="Y130" s="20"/>
      <c r="Z130" s="20" t="s">
        <v>139</v>
      </c>
      <c r="AE130" s="20"/>
      <c r="AF130" s="20" t="s">
        <v>29</v>
      </c>
      <c r="AI130" s="20" t="s">
        <v>22</v>
      </c>
      <c r="AL130" s="20" t="s">
        <v>140</v>
      </c>
      <c r="AO130" s="20" t="s">
        <v>24</v>
      </c>
      <c r="AR130" s="1"/>
      <c r="AS130" s="1"/>
      <c r="BE130" s="11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3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</row>
    <row r="131" ht="11.25" customHeight="1">
      <c r="A131" s="1"/>
      <c r="B131" s="1"/>
      <c r="C131" s="4" t="s">
        <v>135</v>
      </c>
      <c r="D131" s="5"/>
      <c r="E131" s="5"/>
      <c r="F131" s="5"/>
      <c r="G131" s="6"/>
      <c r="H131" s="26">
        <f>Sum(K131:Q131)</f>
        <v>1</v>
      </c>
      <c r="I131" s="5"/>
      <c r="J131" s="6"/>
      <c r="K131" s="9">
        <f>$H$84</f>
        <v>1</v>
      </c>
      <c r="L131" s="5"/>
      <c r="M131" s="6"/>
      <c r="N131" s="14"/>
      <c r="O131" s="5"/>
      <c r="P131" s="6"/>
      <c r="Q131" s="14"/>
      <c r="R131" s="5"/>
      <c r="S131" s="6"/>
      <c r="T131" s="2"/>
      <c r="U131" s="68" t="s">
        <v>136</v>
      </c>
      <c r="V131" s="5"/>
      <c r="W131" s="5"/>
      <c r="X131" s="5"/>
      <c r="Y131" s="6"/>
      <c r="Z131" s="23" t="s">
        <v>141</v>
      </c>
      <c r="AA131" s="5"/>
      <c r="AB131" s="5"/>
      <c r="AC131" s="5"/>
      <c r="AD131" s="6"/>
      <c r="AE131" s="69" t="str">
        <f>IF(Z131="","","+")</f>
        <v>+</v>
      </c>
      <c r="AF131" s="26">
        <f>Sum(AI131:AO131)</f>
        <v>0</v>
      </c>
      <c r="AG131" s="5"/>
      <c r="AH131" s="6"/>
      <c r="AI131" s="9">
        <f>$AF$84</f>
        <v>0</v>
      </c>
      <c r="AJ131" s="5"/>
      <c r="AK131" s="6"/>
      <c r="AL131" s="48"/>
      <c r="AM131" s="5"/>
      <c r="AN131" s="6"/>
      <c r="AO131" s="48"/>
      <c r="AP131" s="5"/>
      <c r="AQ131" s="6"/>
      <c r="AR131" s="1"/>
      <c r="AS131" s="1"/>
      <c r="AT131" s="73">
        <f>IF($AF$11="No",17,"")</f>
        <v>17</v>
      </c>
      <c r="AV131" s="8" t="s">
        <v>161</v>
      </c>
      <c r="BE131" s="48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6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</row>
    <row r="132" ht="11.25" customHeight="1">
      <c r="A132" s="1"/>
      <c r="B132" s="1"/>
      <c r="C132" s="11"/>
      <c r="D132" s="12"/>
      <c r="E132" s="12"/>
      <c r="F132" s="12"/>
      <c r="G132" s="13"/>
      <c r="H132" s="11"/>
      <c r="I132" s="12"/>
      <c r="J132" s="13"/>
      <c r="K132" s="11"/>
      <c r="L132" s="12"/>
      <c r="M132" s="13"/>
      <c r="N132" s="11"/>
      <c r="O132" s="12"/>
      <c r="P132" s="13"/>
      <c r="Q132" s="11"/>
      <c r="R132" s="12"/>
      <c r="S132" s="13"/>
      <c r="T132" s="2"/>
      <c r="U132" s="12"/>
      <c r="V132" s="12"/>
      <c r="W132" s="12"/>
      <c r="X132" s="12"/>
      <c r="Y132" s="13"/>
      <c r="Z132" s="11"/>
      <c r="AA132" s="12"/>
      <c r="AB132" s="12"/>
      <c r="AC132" s="12"/>
      <c r="AD132" s="13"/>
      <c r="AF132" s="11"/>
      <c r="AG132" s="12"/>
      <c r="AH132" s="13"/>
      <c r="AI132" s="11"/>
      <c r="AJ132" s="12"/>
      <c r="AK132" s="13"/>
      <c r="AL132" s="11"/>
      <c r="AM132" s="12"/>
      <c r="AN132" s="13"/>
      <c r="AO132" s="11"/>
      <c r="AP132" s="12"/>
      <c r="AQ132" s="13"/>
      <c r="AR132" s="1"/>
      <c r="AS132" s="1"/>
      <c r="BE132" s="11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3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</row>
    <row r="133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75" t="s">
        <v>162</v>
      </c>
      <c r="AV133" s="8" t="s">
        <v>163</v>
      </c>
      <c r="BE133" s="48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6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</row>
    <row r="134" ht="11.25" customHeight="1">
      <c r="A134" s="1"/>
      <c r="B134" s="1"/>
      <c r="C134" s="4" t="s">
        <v>142</v>
      </c>
      <c r="D134" s="5"/>
      <c r="E134" s="5"/>
      <c r="F134" s="5"/>
      <c r="G134" s="5"/>
      <c r="H134" s="6"/>
      <c r="I134" s="48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6"/>
      <c r="AR134" s="1"/>
      <c r="AS134" s="1"/>
      <c r="BE134" s="11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3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</row>
    <row r="135" ht="11.25" customHeight="1">
      <c r="A135" s="1"/>
      <c r="B135" s="1"/>
      <c r="C135" s="11"/>
      <c r="D135" s="12"/>
      <c r="E135" s="12"/>
      <c r="F135" s="12"/>
      <c r="G135" s="12"/>
      <c r="H135" s="13"/>
      <c r="I135" s="11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3"/>
      <c r="AR135" s="1"/>
      <c r="AS135" s="1"/>
      <c r="AT135" s="75" t="s">
        <v>162</v>
      </c>
      <c r="AV135" s="8" t="s">
        <v>164</v>
      </c>
      <c r="BE135" s="48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6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</row>
    <row r="136" ht="11.25" customHeight="1">
      <c r="A136" s="1"/>
      <c r="B136" s="1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1"/>
      <c r="AS136" s="1"/>
      <c r="BE136" s="11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3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</row>
    <row r="137" ht="11.25" customHeight="1">
      <c r="A137" s="1"/>
      <c r="B137" s="1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1"/>
      <c r="AS137" s="1"/>
      <c r="AT137" s="73"/>
      <c r="AV137" s="8" t="s">
        <v>165</v>
      </c>
      <c r="BE137" s="48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6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</row>
    <row r="138" ht="11.25" customHeight="1">
      <c r="A138" s="1"/>
      <c r="B138" s="1"/>
      <c r="C138" s="4" t="s">
        <v>166</v>
      </c>
      <c r="D138" s="5"/>
      <c r="E138" s="5"/>
      <c r="F138" s="5"/>
      <c r="G138" s="5"/>
      <c r="H138" s="5"/>
      <c r="I138" s="5"/>
      <c r="J138" s="6"/>
      <c r="K138" s="1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6"/>
      <c r="AR138" s="1"/>
      <c r="AS138" s="1"/>
      <c r="BE138" s="11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3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</row>
    <row r="139" ht="11.25" customHeight="1">
      <c r="A139" s="1"/>
      <c r="B139" s="1"/>
      <c r="C139" s="11"/>
      <c r="D139" s="12"/>
      <c r="E139" s="12"/>
      <c r="F139" s="12"/>
      <c r="G139" s="12"/>
      <c r="H139" s="12"/>
      <c r="I139" s="12"/>
      <c r="J139" s="13"/>
      <c r="K139" s="11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3"/>
      <c r="AR139" s="1"/>
      <c r="AS139" s="1"/>
      <c r="AT139" s="73"/>
      <c r="AV139" s="8" t="s">
        <v>167</v>
      </c>
      <c r="BE139" s="48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6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</row>
    <row r="140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BE140" s="11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3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</row>
    <row r="141" ht="11.25" customHeight="1">
      <c r="A141" s="1"/>
      <c r="B141" s="1"/>
      <c r="C141" s="4" t="s">
        <v>168</v>
      </c>
      <c r="D141" s="5"/>
      <c r="E141" s="5"/>
      <c r="F141" s="5"/>
      <c r="G141" s="5"/>
      <c r="H141" s="5"/>
      <c r="I141" s="5"/>
      <c r="J141" s="6"/>
      <c r="K141" s="1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6"/>
      <c r="AR141" s="1"/>
      <c r="AS141" s="1"/>
      <c r="AT141" s="73"/>
      <c r="AV141" s="8" t="s">
        <v>169</v>
      </c>
      <c r="BE141" s="48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6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</row>
    <row r="142" ht="11.25" customHeight="1">
      <c r="A142" s="1"/>
      <c r="B142" s="1"/>
      <c r="C142" s="11"/>
      <c r="D142" s="12"/>
      <c r="E142" s="12"/>
      <c r="F142" s="12"/>
      <c r="G142" s="12"/>
      <c r="H142" s="12"/>
      <c r="I142" s="12"/>
      <c r="J142" s="13"/>
      <c r="K142" s="11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3"/>
      <c r="AR142" s="1"/>
      <c r="AS142" s="1"/>
      <c r="BE142" s="11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3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</row>
    <row r="143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</row>
    <row r="144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</row>
    <row r="145" ht="11.25" customHeight="1">
      <c r="A145" s="1"/>
      <c r="B145" s="1"/>
      <c r="C145" s="8" t="s">
        <v>170</v>
      </c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</row>
    <row r="146" ht="11.25" customHeight="1">
      <c r="A146" s="1"/>
      <c r="B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</row>
    <row r="147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0" t="s">
        <v>55</v>
      </c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20" t="s">
        <v>55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20" t="s">
        <v>55</v>
      </c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20" t="s">
        <v>55</v>
      </c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</row>
    <row r="148" ht="11.25" customHeight="1">
      <c r="A148" s="1"/>
      <c r="B148" s="1"/>
      <c r="C148" s="4" t="s">
        <v>171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76">
        <f>$AY$3</f>
        <v>1</v>
      </c>
      <c r="R148" s="5"/>
      <c r="S148" s="6"/>
      <c r="T148" s="28"/>
      <c r="U148" s="4" t="s">
        <v>172</v>
      </c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76">
        <f>$AY$5</f>
        <v>1</v>
      </c>
      <c r="AJ148" s="5"/>
      <c r="AK148" s="6"/>
      <c r="AL148" s="28"/>
      <c r="AM148" s="4" t="s">
        <v>173</v>
      </c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76">
        <f>$AY$7</f>
        <v>0</v>
      </c>
      <c r="BB148" s="5"/>
      <c r="BC148" s="6"/>
      <c r="BD148" s="28"/>
      <c r="BE148" s="4" t="s">
        <v>174</v>
      </c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76">
        <f>$AY$9</f>
        <v>0</v>
      </c>
      <c r="BT148" s="5"/>
      <c r="BU148" s="6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</row>
    <row r="149" ht="11.25" customHeight="1">
      <c r="A149" s="1"/>
      <c r="B149" s="1"/>
      <c r="C149" s="61"/>
      <c r="Q149" s="11"/>
      <c r="R149" s="12"/>
      <c r="S149" s="13"/>
      <c r="T149" s="28"/>
      <c r="U149" s="61"/>
      <c r="AI149" s="11"/>
      <c r="AJ149" s="12"/>
      <c r="AK149" s="13"/>
      <c r="AL149" s="28"/>
      <c r="AM149" s="61"/>
      <c r="BA149" s="11"/>
      <c r="BB149" s="12"/>
      <c r="BC149" s="13"/>
      <c r="BD149" s="28"/>
      <c r="BE149" s="61"/>
      <c r="BS149" s="11"/>
      <c r="BT149" s="12"/>
      <c r="BU149" s="13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</row>
    <row r="150" ht="11.25" customHeight="1">
      <c r="A150" s="1"/>
      <c r="B150" s="1"/>
      <c r="C150" s="9" t="str">
        <f>AJ3</f>
        <v/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6"/>
      <c r="T150" s="19"/>
      <c r="U150" s="9" t="str">
        <f>AJ5</f>
        <v/>
      </c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6"/>
      <c r="AL150" s="19"/>
      <c r="AM150" s="9" t="str">
        <f>AJ7</f>
        <v/>
      </c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6"/>
      <c r="BD150" s="19"/>
      <c r="BE150" s="9" t="str">
        <f>AJ9</f>
        <v/>
      </c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6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</row>
    <row r="151" ht="11.25" customHeight="1">
      <c r="A151" s="1"/>
      <c r="B151" s="1"/>
      <c r="C151" s="11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3"/>
      <c r="T151" s="19"/>
      <c r="U151" s="11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3"/>
      <c r="AL151" s="19"/>
      <c r="AM151" s="11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3"/>
      <c r="BD151" s="19"/>
      <c r="BE151" s="11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3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</row>
    <row r="152" ht="11.25" customHeight="1">
      <c r="A152" s="1"/>
      <c r="B152" s="1"/>
      <c r="C152" s="17"/>
      <c r="D152" s="17"/>
      <c r="E152" s="17"/>
      <c r="F152" s="17"/>
      <c r="G152" s="20" t="s">
        <v>29</v>
      </c>
      <c r="J152" s="20" t="s">
        <v>75</v>
      </c>
      <c r="M152" s="20" t="s">
        <v>24</v>
      </c>
      <c r="P152" s="20" t="s">
        <v>75</v>
      </c>
      <c r="T152" s="1"/>
      <c r="U152" s="17"/>
      <c r="V152" s="17"/>
      <c r="W152" s="17"/>
      <c r="X152" s="17"/>
      <c r="Y152" s="20" t="s">
        <v>29</v>
      </c>
      <c r="AB152" s="20" t="s">
        <v>75</v>
      </c>
      <c r="AE152" s="20" t="s">
        <v>24</v>
      </c>
      <c r="AH152" s="20" t="s">
        <v>75</v>
      </c>
      <c r="AL152" s="1"/>
      <c r="AM152" s="17"/>
      <c r="AN152" s="17"/>
      <c r="AO152" s="17"/>
      <c r="AP152" s="17"/>
      <c r="AQ152" s="20" t="s">
        <v>29</v>
      </c>
      <c r="AT152" s="20" t="s">
        <v>75</v>
      </c>
      <c r="AW152" s="20" t="s">
        <v>24</v>
      </c>
      <c r="AZ152" s="20" t="s">
        <v>75</v>
      </c>
      <c r="BD152" s="1"/>
      <c r="BE152" s="17"/>
      <c r="BF152" s="17"/>
      <c r="BG152" s="17"/>
      <c r="BH152" s="17"/>
      <c r="BI152" s="20" t="s">
        <v>29</v>
      </c>
      <c r="BL152" s="20" t="s">
        <v>75</v>
      </c>
      <c r="BO152" s="20" t="s">
        <v>24</v>
      </c>
      <c r="BR152" s="20" t="s">
        <v>75</v>
      </c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</row>
    <row r="153" ht="11.25" customHeight="1">
      <c r="A153" s="1"/>
      <c r="B153" s="1"/>
      <c r="C153" s="4" t="s">
        <v>175</v>
      </c>
      <c r="D153" s="5"/>
      <c r="E153" s="5"/>
      <c r="F153" s="6"/>
      <c r="G153" s="77">
        <f>10+floor($AC$9/2)+J153+M153</f>
        <v>10</v>
      </c>
      <c r="H153" s="5"/>
      <c r="I153" s="6"/>
      <c r="J153" s="76">
        <f>SWITCH(P153,"N/A",0,"KOM",$H$38,"KDM",$W$38,VLOOKUP(P153,AbilityScores,9,false))</f>
        <v>0</v>
      </c>
      <c r="K153" s="5"/>
      <c r="L153" s="6"/>
      <c r="M153" s="78"/>
      <c r="N153" s="5"/>
      <c r="O153" s="6"/>
      <c r="P153" s="38" t="s">
        <v>59</v>
      </c>
      <c r="Q153" s="5"/>
      <c r="R153" s="5"/>
      <c r="S153" s="6"/>
      <c r="T153" s="1"/>
      <c r="U153" s="4" t="s">
        <v>175</v>
      </c>
      <c r="V153" s="5"/>
      <c r="W153" s="5"/>
      <c r="X153" s="6"/>
      <c r="Y153" s="77">
        <f>10+floor($AC$9/2)+AB153+AE153</f>
        <v>10</v>
      </c>
      <c r="Z153" s="5"/>
      <c r="AA153" s="6"/>
      <c r="AB153" s="76">
        <f>SWITCH(AH153,"N/A",0,"KOM",$H$38,"KDM",$W$38,VLOOKUP(AH153,AbilityScores,9,false))</f>
        <v>0</v>
      </c>
      <c r="AC153" s="5"/>
      <c r="AD153" s="6"/>
      <c r="AE153" s="78"/>
      <c r="AF153" s="5"/>
      <c r="AG153" s="6"/>
      <c r="AH153" s="38" t="s">
        <v>59</v>
      </c>
      <c r="AI153" s="5"/>
      <c r="AJ153" s="5"/>
      <c r="AK153" s="6"/>
      <c r="AL153" s="1"/>
      <c r="AM153" s="4" t="s">
        <v>175</v>
      </c>
      <c r="AN153" s="5"/>
      <c r="AO153" s="5"/>
      <c r="AP153" s="6"/>
      <c r="AQ153" s="77">
        <f>10+floor($AC$9/2)+AT153+AW153</f>
        <v>10</v>
      </c>
      <c r="AR153" s="5"/>
      <c r="AS153" s="6"/>
      <c r="AT153" s="76">
        <f>SWITCH(AZ153,"N/A",0,"KOM",$H$38,"KDM",$W$38,VLOOKUP(AZ153,AbilityScores,9,false))</f>
        <v>0</v>
      </c>
      <c r="AU153" s="5"/>
      <c r="AV153" s="6"/>
      <c r="AW153" s="78"/>
      <c r="AX153" s="5"/>
      <c r="AY153" s="6"/>
      <c r="AZ153" s="38" t="s">
        <v>59</v>
      </c>
      <c r="BA153" s="5"/>
      <c r="BB153" s="5"/>
      <c r="BC153" s="6"/>
      <c r="BD153" s="1"/>
      <c r="BE153" s="4" t="s">
        <v>175</v>
      </c>
      <c r="BF153" s="5"/>
      <c r="BG153" s="5"/>
      <c r="BH153" s="6"/>
      <c r="BI153" s="77">
        <f>10+floor($AC$9/2)+BL153+BO153</f>
        <v>10</v>
      </c>
      <c r="BJ153" s="5"/>
      <c r="BK153" s="6"/>
      <c r="BL153" s="76">
        <f>SWITCH(BR153,"N/A",0,"KOM",$H$38,"KDM",$W$38,VLOOKUP(BR153,AbilityScores,9,false))</f>
        <v>0</v>
      </c>
      <c r="BM153" s="5"/>
      <c r="BN153" s="6"/>
      <c r="BO153" s="78"/>
      <c r="BP153" s="5"/>
      <c r="BQ153" s="6"/>
      <c r="BR153" s="38" t="s">
        <v>59</v>
      </c>
      <c r="BS153" s="5"/>
      <c r="BT153" s="5"/>
      <c r="BU153" s="6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</row>
    <row r="154" ht="11.25" customHeight="1">
      <c r="A154" s="1"/>
      <c r="B154" s="1"/>
      <c r="C154" s="11"/>
      <c r="D154" s="12"/>
      <c r="E154" s="12"/>
      <c r="F154" s="13"/>
      <c r="G154" s="11"/>
      <c r="H154" s="12"/>
      <c r="I154" s="13"/>
      <c r="J154" s="11"/>
      <c r="K154" s="12"/>
      <c r="L154" s="13"/>
      <c r="M154" s="11"/>
      <c r="N154" s="12"/>
      <c r="O154" s="13"/>
      <c r="P154" s="11"/>
      <c r="Q154" s="12"/>
      <c r="R154" s="12"/>
      <c r="S154" s="13"/>
      <c r="T154" s="1"/>
      <c r="U154" s="11"/>
      <c r="V154" s="12"/>
      <c r="W154" s="12"/>
      <c r="X154" s="13"/>
      <c r="Y154" s="11"/>
      <c r="Z154" s="12"/>
      <c r="AA154" s="13"/>
      <c r="AB154" s="11"/>
      <c r="AC154" s="12"/>
      <c r="AD154" s="13"/>
      <c r="AE154" s="11"/>
      <c r="AF154" s="12"/>
      <c r="AG154" s="13"/>
      <c r="AH154" s="11"/>
      <c r="AI154" s="12"/>
      <c r="AJ154" s="12"/>
      <c r="AK154" s="13"/>
      <c r="AL154" s="1"/>
      <c r="AM154" s="11"/>
      <c r="AN154" s="12"/>
      <c r="AO154" s="12"/>
      <c r="AP154" s="13"/>
      <c r="AQ154" s="11"/>
      <c r="AR154" s="12"/>
      <c r="AS154" s="13"/>
      <c r="AT154" s="11"/>
      <c r="AU154" s="12"/>
      <c r="AV154" s="13"/>
      <c r="AW154" s="11"/>
      <c r="AX154" s="12"/>
      <c r="AY154" s="13"/>
      <c r="AZ154" s="11"/>
      <c r="BA154" s="12"/>
      <c r="BB154" s="12"/>
      <c r="BC154" s="13"/>
      <c r="BD154" s="1"/>
      <c r="BE154" s="11"/>
      <c r="BF154" s="12"/>
      <c r="BG154" s="12"/>
      <c r="BH154" s="13"/>
      <c r="BI154" s="11"/>
      <c r="BJ154" s="12"/>
      <c r="BK154" s="13"/>
      <c r="BL154" s="11"/>
      <c r="BM154" s="12"/>
      <c r="BN154" s="13"/>
      <c r="BO154" s="11"/>
      <c r="BP154" s="12"/>
      <c r="BQ154" s="13"/>
      <c r="BR154" s="11"/>
      <c r="BS154" s="12"/>
      <c r="BT154" s="12"/>
      <c r="BU154" s="13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</row>
    <row r="155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0" t="s">
        <v>42</v>
      </c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20" t="s">
        <v>42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20" t="s">
        <v>42</v>
      </c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20" t="s">
        <v>42</v>
      </c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</row>
    <row r="156" ht="11.25" customHeight="1">
      <c r="A156" s="1"/>
      <c r="B156" s="1"/>
      <c r="C156" s="4" t="s">
        <v>176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6"/>
      <c r="R156" s="4">
        <f>IF(C$148="Slow Track",2,1)</f>
        <v>1</v>
      </c>
      <c r="S156" s="6"/>
      <c r="T156" s="1"/>
      <c r="U156" s="4" t="s">
        <v>176</v>
      </c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6"/>
      <c r="AJ156" s="4">
        <f>IF(U$148="Slow Track",2,1)</f>
        <v>1</v>
      </c>
      <c r="AK156" s="6"/>
      <c r="AL156" s="1"/>
      <c r="AM156" s="4" t="s">
        <v>176</v>
      </c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6"/>
      <c r="BB156" s="4">
        <f>IF(AM$148="Slow Track",2,1)</f>
        <v>2</v>
      </c>
      <c r="BC156" s="6"/>
      <c r="BD156" s="1"/>
      <c r="BE156" s="4" t="s">
        <v>176</v>
      </c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6"/>
      <c r="BT156" s="4">
        <f>IF(BE$148="Slow Track",2,1)</f>
        <v>1</v>
      </c>
      <c r="BU156" s="6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</row>
    <row r="157" ht="11.25" customHeight="1">
      <c r="A157" s="1"/>
      <c r="B157" s="1"/>
      <c r="C157" s="11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3"/>
      <c r="R157" s="11"/>
      <c r="S157" s="13"/>
      <c r="T157" s="1"/>
      <c r="U157" s="11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3"/>
      <c r="AJ157" s="11"/>
      <c r="AK157" s="13"/>
      <c r="AL157" s="1"/>
      <c r="AM157" s="11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3"/>
      <c r="BB157" s="11"/>
      <c r="BC157" s="13"/>
      <c r="BD157" s="1"/>
      <c r="BE157" s="11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3"/>
      <c r="BT157" s="11"/>
      <c r="BU157" s="13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</row>
    <row r="158" ht="11.25" customHeight="1">
      <c r="A158" s="1"/>
      <c r="B158" s="1"/>
      <c r="C158" s="4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6"/>
      <c r="T158" s="1"/>
      <c r="U158" s="48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6"/>
      <c r="AL158" s="1"/>
      <c r="AM158" s="48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6"/>
      <c r="BD158" s="1"/>
      <c r="BE158" s="48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6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</row>
    <row r="159" ht="11.25" customHeight="1">
      <c r="A159" s="1"/>
      <c r="B159" s="1"/>
      <c r="C159" s="11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3"/>
      <c r="T159" s="1"/>
      <c r="U159" s="11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3"/>
      <c r="AL159" s="1"/>
      <c r="AM159" s="11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3"/>
      <c r="BD159" s="1"/>
      <c r="BE159" s="11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3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</row>
    <row r="160" ht="11.25" customHeight="1">
      <c r="A160" s="1"/>
      <c r="B160" s="1"/>
      <c r="C160" s="79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6"/>
      <c r="T160" s="80"/>
      <c r="U160" s="79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6"/>
      <c r="AL160" s="80"/>
      <c r="AM160" s="79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6"/>
      <c r="BD160" s="1"/>
      <c r="BE160" s="79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6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</row>
    <row r="161" ht="11.25" customHeight="1">
      <c r="A161" s="1"/>
      <c r="B161" s="1"/>
      <c r="C161" s="61"/>
      <c r="S161" s="34"/>
      <c r="T161" s="80"/>
      <c r="U161" s="61"/>
      <c r="AK161" s="34"/>
      <c r="AL161" s="80"/>
      <c r="AM161" s="61"/>
      <c r="BC161" s="34"/>
      <c r="BD161" s="1"/>
      <c r="BE161" s="61"/>
      <c r="BU161" s="34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</row>
    <row r="162" ht="11.25" customHeight="1">
      <c r="A162" s="1"/>
      <c r="B162" s="1"/>
      <c r="C162" s="61"/>
      <c r="S162" s="34"/>
      <c r="T162" s="80"/>
      <c r="U162" s="61"/>
      <c r="AK162" s="34"/>
      <c r="AL162" s="80"/>
      <c r="AM162" s="61"/>
      <c r="BC162" s="34"/>
      <c r="BD162" s="1"/>
      <c r="BE162" s="61"/>
      <c r="BU162" s="34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</row>
    <row r="163" ht="11.25" customHeight="1">
      <c r="A163" s="1"/>
      <c r="B163" s="1"/>
      <c r="C163" s="61"/>
      <c r="S163" s="34"/>
      <c r="T163" s="80"/>
      <c r="U163" s="61"/>
      <c r="AK163" s="34"/>
      <c r="AL163" s="80"/>
      <c r="AM163" s="61"/>
      <c r="BC163" s="34"/>
      <c r="BD163" s="1"/>
      <c r="BE163" s="61"/>
      <c r="BU163" s="34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</row>
    <row r="164" ht="11.25" customHeight="1">
      <c r="A164" s="1"/>
      <c r="B164" s="1"/>
      <c r="C164" s="61"/>
      <c r="S164" s="34"/>
      <c r="T164" s="80"/>
      <c r="U164" s="61"/>
      <c r="AK164" s="34"/>
      <c r="AL164" s="80"/>
      <c r="AM164" s="61"/>
      <c r="BC164" s="34"/>
      <c r="BD164" s="1"/>
      <c r="BE164" s="61"/>
      <c r="BU164" s="34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</row>
    <row r="165" ht="11.25" customHeight="1">
      <c r="A165" s="1"/>
      <c r="B165" s="1"/>
      <c r="C165" s="61"/>
      <c r="S165" s="34"/>
      <c r="T165" s="80"/>
      <c r="U165" s="61"/>
      <c r="AK165" s="34"/>
      <c r="AL165" s="80"/>
      <c r="AM165" s="61"/>
      <c r="BC165" s="34"/>
      <c r="BD165" s="1"/>
      <c r="BE165" s="61"/>
      <c r="BU165" s="34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</row>
    <row r="166" ht="11.25" customHeight="1">
      <c r="A166" s="1"/>
      <c r="B166" s="1"/>
      <c r="C166" s="61"/>
      <c r="S166" s="34"/>
      <c r="T166" s="80"/>
      <c r="U166" s="61"/>
      <c r="AK166" s="34"/>
      <c r="AL166" s="80"/>
      <c r="AM166" s="61"/>
      <c r="BC166" s="34"/>
      <c r="BD166" s="1"/>
      <c r="BE166" s="61"/>
      <c r="BU166" s="34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</row>
    <row r="167" ht="11.25" customHeight="1">
      <c r="A167" s="1"/>
      <c r="B167" s="1"/>
      <c r="C167" s="11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3"/>
      <c r="T167" s="80"/>
      <c r="U167" s="11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3"/>
      <c r="AL167" s="80"/>
      <c r="AM167" s="11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3"/>
      <c r="BD167" s="1"/>
      <c r="BE167" s="11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3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</row>
    <row r="168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0" t="s">
        <v>42</v>
      </c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20" t="s">
        <v>42</v>
      </c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20" t="s">
        <v>42</v>
      </c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20" t="s">
        <v>42</v>
      </c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</row>
    <row r="169" ht="11.25" customHeight="1">
      <c r="A169" s="1"/>
      <c r="B169" s="1"/>
      <c r="C169" s="4" t="s">
        <v>177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6"/>
      <c r="R169" s="4">
        <f>SWITCH(C$148,"Fast Track",3,"Slow Track",5,4)</f>
        <v>3</v>
      </c>
      <c r="S169" s="6"/>
      <c r="T169" s="1"/>
      <c r="U169" s="4" t="s">
        <v>177</v>
      </c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6"/>
      <c r="AJ169" s="4">
        <f>SWITCH(U$148,"Fast Track",3,"Slow Track",5,4)</f>
        <v>4</v>
      </c>
      <c r="AK169" s="6"/>
      <c r="AL169" s="1"/>
      <c r="AM169" s="4" t="s">
        <v>177</v>
      </c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6"/>
      <c r="BB169" s="4">
        <f>SWITCH(AM$148,"Fast Track",3,"Slow Track",5,4)</f>
        <v>5</v>
      </c>
      <c r="BC169" s="6"/>
      <c r="BD169" s="1"/>
      <c r="BE169" s="4" t="s">
        <v>177</v>
      </c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6"/>
      <c r="BT169" s="4">
        <f>SWITCH(BE$148,"Fast Track",3,"Slow Track",5,4)</f>
        <v>4</v>
      </c>
      <c r="BU169" s="6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</row>
    <row r="170" ht="11.25" customHeight="1">
      <c r="A170" s="1"/>
      <c r="B170" s="1"/>
      <c r="C170" s="11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3"/>
      <c r="R170" s="11"/>
      <c r="S170" s="13"/>
      <c r="T170" s="1"/>
      <c r="U170" s="11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3"/>
      <c r="AJ170" s="11"/>
      <c r="AK170" s="13"/>
      <c r="AL170" s="1"/>
      <c r="AM170" s="11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3"/>
      <c r="BB170" s="11"/>
      <c r="BC170" s="13"/>
      <c r="BD170" s="1"/>
      <c r="BE170" s="11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3"/>
      <c r="BT170" s="11"/>
      <c r="BU170" s="13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</row>
    <row r="171" ht="11.25" customHeight="1">
      <c r="A171" s="1"/>
      <c r="B171" s="1"/>
      <c r="C171" s="4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6"/>
      <c r="T171" s="1"/>
      <c r="U171" s="48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6"/>
      <c r="AL171" s="1"/>
      <c r="AM171" s="48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6"/>
      <c r="BD171" s="1"/>
      <c r="BE171" s="48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6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</row>
    <row r="172" ht="11.25" customHeight="1">
      <c r="A172" s="1"/>
      <c r="B172" s="1"/>
      <c r="C172" s="11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3"/>
      <c r="T172" s="1"/>
      <c r="U172" s="11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3"/>
      <c r="AL172" s="1"/>
      <c r="AM172" s="11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3"/>
      <c r="BD172" s="1"/>
      <c r="BE172" s="11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3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</row>
    <row r="173" ht="11.25" customHeight="1">
      <c r="A173" s="1"/>
      <c r="B173" s="1"/>
      <c r="C173" s="79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6"/>
      <c r="T173" s="80"/>
      <c r="U173" s="79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6"/>
      <c r="AL173" s="80"/>
      <c r="AM173" s="79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6"/>
      <c r="BD173" s="1"/>
      <c r="BE173" s="79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6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</row>
    <row r="174" ht="11.25" customHeight="1">
      <c r="A174" s="1"/>
      <c r="B174" s="1"/>
      <c r="C174" s="61"/>
      <c r="S174" s="34"/>
      <c r="T174" s="80"/>
      <c r="U174" s="61"/>
      <c r="AK174" s="34"/>
      <c r="AL174" s="80"/>
      <c r="AM174" s="61"/>
      <c r="BC174" s="34"/>
      <c r="BD174" s="1"/>
      <c r="BE174" s="61"/>
      <c r="BU174" s="34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</row>
    <row r="175" ht="11.25" customHeight="1">
      <c r="A175" s="1"/>
      <c r="B175" s="1"/>
      <c r="C175" s="61"/>
      <c r="S175" s="34"/>
      <c r="T175" s="80"/>
      <c r="U175" s="61"/>
      <c r="AK175" s="34"/>
      <c r="AL175" s="80"/>
      <c r="AM175" s="61"/>
      <c r="BC175" s="34"/>
      <c r="BD175" s="1"/>
      <c r="BE175" s="61"/>
      <c r="BU175" s="34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</row>
    <row r="176" ht="11.25" customHeight="1">
      <c r="A176" s="1"/>
      <c r="B176" s="1"/>
      <c r="C176" s="61"/>
      <c r="S176" s="34"/>
      <c r="T176" s="80"/>
      <c r="U176" s="61"/>
      <c r="AK176" s="34"/>
      <c r="AL176" s="80"/>
      <c r="AM176" s="61"/>
      <c r="BC176" s="34"/>
      <c r="BD176" s="1"/>
      <c r="BE176" s="61"/>
      <c r="BU176" s="34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</row>
    <row r="177" ht="11.25" customHeight="1">
      <c r="A177" s="1"/>
      <c r="B177" s="1"/>
      <c r="C177" s="61"/>
      <c r="S177" s="34"/>
      <c r="T177" s="80"/>
      <c r="U177" s="61"/>
      <c r="AK177" s="34"/>
      <c r="AL177" s="80"/>
      <c r="AM177" s="61"/>
      <c r="BC177" s="34"/>
      <c r="BD177" s="1"/>
      <c r="BE177" s="61"/>
      <c r="BU177" s="34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</row>
    <row r="178" ht="11.25" customHeight="1">
      <c r="A178" s="1"/>
      <c r="B178" s="1"/>
      <c r="C178" s="61"/>
      <c r="S178" s="34"/>
      <c r="T178" s="80"/>
      <c r="U178" s="61"/>
      <c r="AK178" s="34"/>
      <c r="AL178" s="80"/>
      <c r="AM178" s="61"/>
      <c r="BC178" s="34"/>
      <c r="BD178" s="1"/>
      <c r="BE178" s="61"/>
      <c r="BU178" s="34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</row>
    <row r="179" ht="11.25" customHeight="1">
      <c r="A179" s="1"/>
      <c r="B179" s="1"/>
      <c r="C179" s="61"/>
      <c r="S179" s="34"/>
      <c r="T179" s="80"/>
      <c r="U179" s="61"/>
      <c r="AK179" s="34"/>
      <c r="AL179" s="80"/>
      <c r="AM179" s="61"/>
      <c r="BC179" s="34"/>
      <c r="BD179" s="1"/>
      <c r="BE179" s="61"/>
      <c r="BU179" s="34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</row>
    <row r="180" ht="11.25" customHeight="1">
      <c r="A180" s="1"/>
      <c r="B180" s="1"/>
      <c r="C180" s="11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3"/>
      <c r="T180" s="80"/>
      <c r="U180" s="11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3"/>
      <c r="AL180" s="80"/>
      <c r="AM180" s="11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3"/>
      <c r="BD180" s="1"/>
      <c r="BE180" s="11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3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</row>
    <row r="181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0" t="s">
        <v>42</v>
      </c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20" t="s">
        <v>42</v>
      </c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20" t="s">
        <v>42</v>
      </c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20" t="s">
        <v>42</v>
      </c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</row>
    <row r="182" ht="11.25" customHeight="1">
      <c r="A182" s="1"/>
      <c r="B182" s="1"/>
      <c r="C182" s="4" t="s">
        <v>178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6"/>
      <c r="R182" s="4">
        <f>SWITCH(C$148,"Fast Track",6,"Slow Track",8,7)</f>
        <v>6</v>
      </c>
      <c r="S182" s="6"/>
      <c r="T182" s="1"/>
      <c r="U182" s="4" t="s">
        <v>178</v>
      </c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6"/>
      <c r="AJ182" s="4">
        <f>SWITCH(U$148,"Fast Track",6,"Slow Track",8,7)</f>
        <v>7</v>
      </c>
      <c r="AK182" s="6"/>
      <c r="AL182" s="1"/>
      <c r="AM182" s="4" t="s">
        <v>178</v>
      </c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6"/>
      <c r="BB182" s="4">
        <f>SWITCH(AM$148,"Fast Track",6,"Slow Track",8,7)</f>
        <v>8</v>
      </c>
      <c r="BC182" s="6"/>
      <c r="BD182" s="1"/>
      <c r="BE182" s="4" t="s">
        <v>178</v>
      </c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6"/>
      <c r="BT182" s="4">
        <f>SWITCH(BE$148,"Fast Track",6,"Slow Track",8,7)</f>
        <v>7</v>
      </c>
      <c r="BU182" s="6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</row>
    <row r="183" ht="11.25" customHeight="1">
      <c r="A183" s="1"/>
      <c r="B183" s="1"/>
      <c r="C183" s="11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3"/>
      <c r="R183" s="11"/>
      <c r="S183" s="13"/>
      <c r="T183" s="1"/>
      <c r="U183" s="11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3"/>
      <c r="AJ183" s="11"/>
      <c r="AK183" s="13"/>
      <c r="AL183" s="1"/>
      <c r="AM183" s="11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3"/>
      <c r="BB183" s="11"/>
      <c r="BC183" s="13"/>
      <c r="BD183" s="1"/>
      <c r="BE183" s="11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3"/>
      <c r="BT183" s="11"/>
      <c r="BU183" s="13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</row>
    <row r="184" ht="11.25" customHeight="1">
      <c r="A184" s="1"/>
      <c r="B184" s="1"/>
      <c r="C184" s="4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6"/>
      <c r="T184" s="1"/>
      <c r="U184" s="48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6"/>
      <c r="AL184" s="1"/>
      <c r="AM184" s="48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6"/>
      <c r="BD184" s="1"/>
      <c r="BE184" s="48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6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</row>
    <row r="185" ht="11.25" customHeight="1">
      <c r="A185" s="1"/>
      <c r="B185" s="1"/>
      <c r="C185" s="11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3"/>
      <c r="T185" s="1"/>
      <c r="U185" s="11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3"/>
      <c r="AL185" s="1"/>
      <c r="AM185" s="11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3"/>
      <c r="BD185" s="1"/>
      <c r="BE185" s="11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3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</row>
    <row r="186" ht="11.25" customHeight="1">
      <c r="A186" s="1"/>
      <c r="B186" s="1"/>
      <c r="C186" s="79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6"/>
      <c r="T186" s="80"/>
      <c r="U186" s="79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6"/>
      <c r="AL186" s="80"/>
      <c r="AM186" s="79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6"/>
      <c r="BD186" s="1"/>
      <c r="BE186" s="79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6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</row>
    <row r="187" ht="11.25" customHeight="1">
      <c r="A187" s="1"/>
      <c r="B187" s="1"/>
      <c r="C187" s="61"/>
      <c r="S187" s="34"/>
      <c r="T187" s="80"/>
      <c r="U187" s="61"/>
      <c r="AK187" s="34"/>
      <c r="AL187" s="80"/>
      <c r="AM187" s="61"/>
      <c r="BC187" s="34"/>
      <c r="BD187" s="1"/>
      <c r="BE187" s="61"/>
      <c r="BU187" s="34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</row>
    <row r="188" ht="11.25" customHeight="1">
      <c r="A188" s="1"/>
      <c r="B188" s="1"/>
      <c r="C188" s="61"/>
      <c r="S188" s="34"/>
      <c r="T188" s="80"/>
      <c r="U188" s="61"/>
      <c r="AK188" s="34"/>
      <c r="AL188" s="80"/>
      <c r="AM188" s="61"/>
      <c r="BC188" s="34"/>
      <c r="BD188" s="1"/>
      <c r="BE188" s="61"/>
      <c r="BU188" s="34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</row>
    <row r="189" ht="11.25" customHeight="1">
      <c r="A189" s="1"/>
      <c r="B189" s="1"/>
      <c r="C189" s="61"/>
      <c r="S189" s="34"/>
      <c r="T189" s="80"/>
      <c r="U189" s="61"/>
      <c r="AK189" s="34"/>
      <c r="AL189" s="80"/>
      <c r="AM189" s="61"/>
      <c r="BC189" s="34"/>
      <c r="BD189" s="1"/>
      <c r="BE189" s="61"/>
      <c r="BU189" s="34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</row>
    <row r="190" ht="11.25" customHeight="1">
      <c r="A190" s="1"/>
      <c r="B190" s="1"/>
      <c r="C190" s="61"/>
      <c r="S190" s="34"/>
      <c r="T190" s="80"/>
      <c r="U190" s="61"/>
      <c r="AK190" s="34"/>
      <c r="AL190" s="80"/>
      <c r="AM190" s="61"/>
      <c r="BC190" s="34"/>
      <c r="BD190" s="1"/>
      <c r="BE190" s="61"/>
      <c r="BU190" s="34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</row>
    <row r="191" ht="11.25" customHeight="1">
      <c r="A191" s="1"/>
      <c r="B191" s="1"/>
      <c r="C191" s="61"/>
      <c r="S191" s="34"/>
      <c r="T191" s="80"/>
      <c r="U191" s="61"/>
      <c r="AK191" s="34"/>
      <c r="AL191" s="80"/>
      <c r="AM191" s="61"/>
      <c r="BC191" s="34"/>
      <c r="BD191" s="1"/>
      <c r="BE191" s="61"/>
      <c r="BU191" s="34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</row>
    <row r="192" ht="11.25" customHeight="1">
      <c r="A192" s="1"/>
      <c r="B192" s="1"/>
      <c r="C192" s="61"/>
      <c r="S192" s="34"/>
      <c r="T192" s="80"/>
      <c r="U192" s="61"/>
      <c r="AK192" s="34"/>
      <c r="AL192" s="80"/>
      <c r="AM192" s="61"/>
      <c r="BC192" s="34"/>
      <c r="BD192" s="1"/>
      <c r="BE192" s="61"/>
      <c r="BU192" s="34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</row>
    <row r="193" ht="11.25" customHeight="1">
      <c r="A193" s="1"/>
      <c r="B193" s="1"/>
      <c r="C193" s="11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3"/>
      <c r="T193" s="80"/>
      <c r="U193" s="11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3"/>
      <c r="AL193" s="80"/>
      <c r="AM193" s="11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3"/>
      <c r="BD193" s="1"/>
      <c r="BE193" s="11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3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</row>
    <row r="19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0" t="s">
        <v>42</v>
      </c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20" t="s">
        <v>42</v>
      </c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20" t="s">
        <v>42</v>
      </c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20" t="s">
        <v>42</v>
      </c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</row>
    <row r="195" ht="11.25" customHeight="1">
      <c r="A195" s="1"/>
      <c r="B195" s="1"/>
      <c r="C195" s="4" t="s">
        <v>179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6"/>
      <c r="R195" s="4">
        <f>SWITCH(C$148,"Fast Track",9,"Slow Track",11,10)</f>
        <v>9</v>
      </c>
      <c r="S195" s="6"/>
      <c r="T195" s="1"/>
      <c r="U195" s="4" t="s">
        <v>179</v>
      </c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6"/>
      <c r="AJ195" s="4">
        <f>SWITCH(U$148,"Fast Track",9,"Slow Track",11,10)</f>
        <v>10</v>
      </c>
      <c r="AK195" s="6"/>
      <c r="AL195" s="1"/>
      <c r="AM195" s="4" t="s">
        <v>179</v>
      </c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6"/>
      <c r="BB195" s="4">
        <f>SWITCH(AM$148,"Fast Track",9,"Slow Track",11,10)</f>
        <v>11</v>
      </c>
      <c r="BC195" s="6"/>
      <c r="BD195" s="1"/>
      <c r="BE195" s="4" t="s">
        <v>179</v>
      </c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6"/>
      <c r="BT195" s="4">
        <f>SWITCH(BE$148,"Fast Track",9,"Slow Track",11,10)</f>
        <v>10</v>
      </c>
      <c r="BU195" s="6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</row>
    <row r="196" ht="11.25" customHeight="1">
      <c r="A196" s="1"/>
      <c r="B196" s="1"/>
      <c r="C196" s="11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3"/>
      <c r="R196" s="11"/>
      <c r="S196" s="13"/>
      <c r="T196" s="1"/>
      <c r="U196" s="11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3"/>
      <c r="AJ196" s="11"/>
      <c r="AK196" s="13"/>
      <c r="AL196" s="1"/>
      <c r="AM196" s="11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3"/>
      <c r="BB196" s="11"/>
      <c r="BC196" s="13"/>
      <c r="BD196" s="1"/>
      <c r="BE196" s="11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3"/>
      <c r="BT196" s="11"/>
      <c r="BU196" s="13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</row>
    <row r="197" ht="11.25" customHeight="1">
      <c r="A197" s="1"/>
      <c r="B197" s="1"/>
      <c r="C197" s="4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6"/>
      <c r="T197" s="1"/>
      <c r="U197" s="48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6"/>
      <c r="AL197" s="1"/>
      <c r="AM197" s="48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6"/>
      <c r="BD197" s="1"/>
      <c r="BE197" s="48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6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</row>
    <row r="198" ht="11.25" customHeight="1">
      <c r="A198" s="1"/>
      <c r="B198" s="1"/>
      <c r="C198" s="11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3"/>
      <c r="T198" s="1"/>
      <c r="U198" s="11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3"/>
      <c r="AL198" s="1"/>
      <c r="AM198" s="11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3"/>
      <c r="BD198" s="1"/>
      <c r="BE198" s="11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3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</row>
    <row r="199" ht="11.25" customHeight="1">
      <c r="A199" s="1"/>
      <c r="B199" s="1"/>
      <c r="C199" s="79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6"/>
      <c r="T199" s="80"/>
      <c r="U199" s="79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6"/>
      <c r="AL199" s="80"/>
      <c r="AM199" s="79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6"/>
      <c r="BD199" s="1"/>
      <c r="BE199" s="79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6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</row>
    <row r="200" ht="11.25" customHeight="1">
      <c r="A200" s="1"/>
      <c r="B200" s="1"/>
      <c r="C200" s="61"/>
      <c r="S200" s="34"/>
      <c r="T200" s="80"/>
      <c r="U200" s="61"/>
      <c r="AK200" s="34"/>
      <c r="AL200" s="80"/>
      <c r="AM200" s="61"/>
      <c r="BC200" s="34"/>
      <c r="BD200" s="1"/>
      <c r="BE200" s="61"/>
      <c r="BU200" s="34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</row>
    <row r="201" ht="11.25" customHeight="1">
      <c r="A201" s="1"/>
      <c r="B201" s="1"/>
      <c r="C201" s="61"/>
      <c r="S201" s="34"/>
      <c r="T201" s="80"/>
      <c r="U201" s="61"/>
      <c r="AK201" s="34"/>
      <c r="AL201" s="80"/>
      <c r="AM201" s="61"/>
      <c r="BC201" s="34"/>
      <c r="BD201" s="1"/>
      <c r="BE201" s="61"/>
      <c r="BU201" s="34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</row>
    <row r="202" ht="11.25" customHeight="1">
      <c r="A202" s="1"/>
      <c r="B202" s="1"/>
      <c r="C202" s="61"/>
      <c r="S202" s="34"/>
      <c r="T202" s="80"/>
      <c r="U202" s="61"/>
      <c r="AK202" s="34"/>
      <c r="AL202" s="80"/>
      <c r="AM202" s="61"/>
      <c r="BC202" s="34"/>
      <c r="BD202" s="1"/>
      <c r="BE202" s="61"/>
      <c r="BU202" s="34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</row>
    <row r="203" ht="11.25" customHeight="1">
      <c r="A203" s="1"/>
      <c r="B203" s="1"/>
      <c r="C203" s="61"/>
      <c r="S203" s="34"/>
      <c r="T203" s="80"/>
      <c r="U203" s="61"/>
      <c r="AK203" s="34"/>
      <c r="AL203" s="80"/>
      <c r="AM203" s="61"/>
      <c r="BC203" s="34"/>
      <c r="BD203" s="1"/>
      <c r="BE203" s="61"/>
      <c r="BU203" s="34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</row>
    <row r="204" ht="11.25" customHeight="1">
      <c r="A204" s="1"/>
      <c r="B204" s="1"/>
      <c r="C204" s="61"/>
      <c r="S204" s="34"/>
      <c r="T204" s="80"/>
      <c r="U204" s="61"/>
      <c r="AK204" s="34"/>
      <c r="AL204" s="80"/>
      <c r="AM204" s="61"/>
      <c r="BC204" s="34"/>
      <c r="BD204" s="1"/>
      <c r="BE204" s="61"/>
      <c r="BU204" s="34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</row>
    <row r="205" ht="11.25" customHeight="1">
      <c r="A205" s="1"/>
      <c r="B205" s="1"/>
      <c r="C205" s="61"/>
      <c r="S205" s="34"/>
      <c r="T205" s="80"/>
      <c r="U205" s="61"/>
      <c r="AK205" s="34"/>
      <c r="AL205" s="80"/>
      <c r="AM205" s="61"/>
      <c r="BC205" s="34"/>
      <c r="BD205" s="1"/>
      <c r="BE205" s="61"/>
      <c r="BU205" s="34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</row>
    <row r="206" ht="11.25" customHeight="1">
      <c r="A206" s="1"/>
      <c r="B206" s="1"/>
      <c r="C206" s="11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3"/>
      <c r="T206" s="80"/>
      <c r="U206" s="11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3"/>
      <c r="AL206" s="80"/>
      <c r="AM206" s="11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3"/>
      <c r="BD206" s="1"/>
      <c r="BE206" s="11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3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</row>
    <row r="207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0" t="s">
        <v>42</v>
      </c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20" t="s">
        <v>42</v>
      </c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20" t="s">
        <v>42</v>
      </c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20" t="s">
        <v>42</v>
      </c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</row>
    <row r="208" ht="11.25" customHeight="1">
      <c r="A208" s="1"/>
      <c r="B208" s="1"/>
      <c r="C208" s="4" t="s">
        <v>180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6"/>
      <c r="R208" s="4">
        <f>SWITCH(C$148,"Fast Track",12,"Slow Track",14,13)</f>
        <v>12</v>
      </c>
      <c r="S208" s="6"/>
      <c r="T208" s="1"/>
      <c r="U208" s="4" t="s">
        <v>180</v>
      </c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6"/>
      <c r="AJ208" s="4">
        <f>SWITCH(U$148,"Fast Track",12,"Slow Track",14,13)</f>
        <v>13</v>
      </c>
      <c r="AK208" s="6"/>
      <c r="AL208" s="1"/>
      <c r="AM208" s="4" t="s">
        <v>180</v>
      </c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6"/>
      <c r="BB208" s="4">
        <f>SWITCH(AM$148,"Fast Track",12,"Slow Track",14,13)</f>
        <v>14</v>
      </c>
      <c r="BC208" s="6"/>
      <c r="BD208" s="1"/>
      <c r="BE208" s="4" t="s">
        <v>180</v>
      </c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6"/>
      <c r="BT208" s="4">
        <f>SWITCH(BE$148,"Fast Track",12,"Slow Track",14,13)</f>
        <v>13</v>
      </c>
      <c r="BU208" s="6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</row>
    <row r="209" ht="11.25" customHeight="1">
      <c r="A209" s="1"/>
      <c r="B209" s="1"/>
      <c r="C209" s="11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3"/>
      <c r="R209" s="11"/>
      <c r="S209" s="13"/>
      <c r="T209" s="1"/>
      <c r="U209" s="11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3"/>
      <c r="AJ209" s="11"/>
      <c r="AK209" s="13"/>
      <c r="AL209" s="1"/>
      <c r="AM209" s="11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3"/>
      <c r="BB209" s="11"/>
      <c r="BC209" s="13"/>
      <c r="BD209" s="1"/>
      <c r="BE209" s="11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3"/>
      <c r="BT209" s="11"/>
      <c r="BU209" s="13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</row>
    <row r="210" ht="11.25" customHeight="1">
      <c r="A210" s="1"/>
      <c r="B210" s="1"/>
      <c r="C210" s="4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6"/>
      <c r="T210" s="1"/>
      <c r="U210" s="48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6"/>
      <c r="AL210" s="1"/>
      <c r="AM210" s="48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6"/>
      <c r="BD210" s="1"/>
      <c r="BE210" s="48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6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</row>
    <row r="211" ht="11.25" customHeight="1">
      <c r="A211" s="1"/>
      <c r="B211" s="1"/>
      <c r="C211" s="11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3"/>
      <c r="T211" s="1"/>
      <c r="U211" s="11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3"/>
      <c r="AL211" s="1"/>
      <c r="AM211" s="11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3"/>
      <c r="BD211" s="1"/>
      <c r="BE211" s="11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3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</row>
    <row r="212" ht="11.25" customHeight="1">
      <c r="A212" s="1"/>
      <c r="B212" s="1"/>
      <c r="C212" s="79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6"/>
      <c r="T212" s="80"/>
      <c r="U212" s="79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6"/>
      <c r="AL212" s="80"/>
      <c r="AM212" s="79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6"/>
      <c r="BD212" s="1"/>
      <c r="BE212" s="79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6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</row>
    <row r="213" ht="11.25" customHeight="1">
      <c r="A213" s="1"/>
      <c r="B213" s="1"/>
      <c r="C213" s="61"/>
      <c r="S213" s="34"/>
      <c r="T213" s="80"/>
      <c r="U213" s="61"/>
      <c r="AK213" s="34"/>
      <c r="AL213" s="80"/>
      <c r="AM213" s="61"/>
      <c r="BC213" s="34"/>
      <c r="BD213" s="1"/>
      <c r="BE213" s="61"/>
      <c r="BU213" s="34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</row>
    <row r="214" ht="11.25" customHeight="1">
      <c r="A214" s="1"/>
      <c r="B214" s="1"/>
      <c r="C214" s="61"/>
      <c r="S214" s="34"/>
      <c r="T214" s="80"/>
      <c r="U214" s="61"/>
      <c r="AK214" s="34"/>
      <c r="AL214" s="80"/>
      <c r="AM214" s="61"/>
      <c r="BC214" s="34"/>
      <c r="BD214" s="1"/>
      <c r="BE214" s="61"/>
      <c r="BU214" s="34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</row>
    <row r="215" ht="11.25" customHeight="1">
      <c r="A215" s="1"/>
      <c r="B215" s="1"/>
      <c r="C215" s="61"/>
      <c r="S215" s="34"/>
      <c r="T215" s="80"/>
      <c r="U215" s="61"/>
      <c r="AK215" s="34"/>
      <c r="AL215" s="80"/>
      <c r="AM215" s="61"/>
      <c r="BC215" s="34"/>
      <c r="BD215" s="1"/>
      <c r="BE215" s="61"/>
      <c r="BU215" s="34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</row>
    <row r="216" ht="11.25" customHeight="1">
      <c r="A216" s="1"/>
      <c r="B216" s="1"/>
      <c r="C216" s="61"/>
      <c r="S216" s="34"/>
      <c r="T216" s="80"/>
      <c r="U216" s="61"/>
      <c r="AK216" s="34"/>
      <c r="AL216" s="80"/>
      <c r="AM216" s="61"/>
      <c r="BC216" s="34"/>
      <c r="BD216" s="1"/>
      <c r="BE216" s="61"/>
      <c r="BU216" s="34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</row>
    <row r="217" ht="11.25" customHeight="1">
      <c r="A217" s="1"/>
      <c r="B217" s="1"/>
      <c r="C217" s="61"/>
      <c r="S217" s="34"/>
      <c r="T217" s="80"/>
      <c r="U217" s="61"/>
      <c r="AK217" s="34"/>
      <c r="AL217" s="80"/>
      <c r="AM217" s="61"/>
      <c r="BC217" s="34"/>
      <c r="BD217" s="1"/>
      <c r="BE217" s="61"/>
      <c r="BU217" s="34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</row>
    <row r="218" ht="11.25" customHeight="1">
      <c r="A218" s="1"/>
      <c r="B218" s="1"/>
      <c r="C218" s="61"/>
      <c r="S218" s="34"/>
      <c r="T218" s="80"/>
      <c r="U218" s="61"/>
      <c r="AK218" s="34"/>
      <c r="AL218" s="80"/>
      <c r="AM218" s="61"/>
      <c r="BC218" s="34"/>
      <c r="BD218" s="1"/>
      <c r="BE218" s="61"/>
      <c r="BU218" s="34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</row>
    <row r="219" ht="11.25" customHeight="1">
      <c r="A219" s="1"/>
      <c r="B219" s="1"/>
      <c r="C219" s="11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3"/>
      <c r="T219" s="80"/>
      <c r="U219" s="11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3"/>
      <c r="AL219" s="80"/>
      <c r="AM219" s="11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3"/>
      <c r="BD219" s="1"/>
      <c r="BE219" s="11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3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</row>
    <row r="2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0" t="s">
        <v>42</v>
      </c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20" t="s">
        <v>42</v>
      </c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20" t="s">
        <v>42</v>
      </c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20" t="s">
        <v>42</v>
      </c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</row>
    <row r="221" ht="11.25" customHeight="1">
      <c r="A221" s="1"/>
      <c r="B221" s="1"/>
      <c r="C221" s="4" t="s">
        <v>181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6"/>
      <c r="R221" s="4">
        <f>SWITCH(C$148,"Fast Track",15,"Slow Track",17,16)</f>
        <v>15</v>
      </c>
      <c r="S221" s="6"/>
      <c r="T221" s="1"/>
      <c r="U221" s="4" t="s">
        <v>181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6"/>
      <c r="AJ221" s="4">
        <f>SWITCH(U$148,"Fast Track",15,"Slow Track",17,16)</f>
        <v>16</v>
      </c>
      <c r="AK221" s="6"/>
      <c r="AL221" s="1"/>
      <c r="AM221" s="4" t="s">
        <v>181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6"/>
      <c r="BB221" s="4">
        <f>SWITCH(AM$148,"Fast Track",15,"Slow Track",17,16)</f>
        <v>17</v>
      </c>
      <c r="BC221" s="6"/>
      <c r="BD221" s="1"/>
      <c r="BE221" s="4" t="s">
        <v>181</v>
      </c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6"/>
      <c r="BT221" s="4">
        <f>SWITCH(BE$148,"Fast Track",15,"Slow Track",17,16)</f>
        <v>16</v>
      </c>
      <c r="BU221" s="6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</row>
    <row r="222" ht="11.25" customHeight="1">
      <c r="A222" s="1"/>
      <c r="B222" s="1"/>
      <c r="C222" s="11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3"/>
      <c r="R222" s="11"/>
      <c r="S222" s="13"/>
      <c r="T222" s="1"/>
      <c r="U222" s="11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3"/>
      <c r="AJ222" s="11"/>
      <c r="AK222" s="13"/>
      <c r="AL222" s="1"/>
      <c r="AM222" s="11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3"/>
      <c r="BB222" s="11"/>
      <c r="BC222" s="13"/>
      <c r="BD222" s="1"/>
      <c r="BE222" s="11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3"/>
      <c r="BT222" s="11"/>
      <c r="BU222" s="13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</row>
    <row r="223" ht="11.25" customHeight="1">
      <c r="A223" s="1"/>
      <c r="B223" s="1"/>
      <c r="C223" s="4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6"/>
      <c r="T223" s="1"/>
      <c r="U223" s="48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6"/>
      <c r="AL223" s="1"/>
      <c r="AM223" s="48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6"/>
      <c r="BD223" s="1"/>
      <c r="BE223" s="48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6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</row>
    <row r="224" ht="11.25" customHeight="1">
      <c r="A224" s="1"/>
      <c r="B224" s="1"/>
      <c r="C224" s="11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3"/>
      <c r="T224" s="1"/>
      <c r="U224" s="11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3"/>
      <c r="AL224" s="1"/>
      <c r="AM224" s="11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3"/>
      <c r="BD224" s="1"/>
      <c r="BE224" s="11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3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</row>
    <row r="225" ht="11.25" customHeight="1">
      <c r="A225" s="1"/>
      <c r="B225" s="1"/>
      <c r="C225" s="7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6"/>
      <c r="T225" s="80"/>
      <c r="U225" s="79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6"/>
      <c r="AL225" s="80"/>
      <c r="AM225" s="79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6"/>
      <c r="BD225" s="1"/>
      <c r="BE225" s="79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6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</row>
    <row r="226" ht="11.25" customHeight="1">
      <c r="A226" s="1"/>
      <c r="B226" s="1"/>
      <c r="C226" s="61"/>
      <c r="S226" s="34"/>
      <c r="T226" s="80"/>
      <c r="U226" s="61"/>
      <c r="AK226" s="34"/>
      <c r="AL226" s="80"/>
      <c r="AM226" s="61"/>
      <c r="BC226" s="34"/>
      <c r="BD226" s="1"/>
      <c r="BE226" s="61"/>
      <c r="BU226" s="34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</row>
    <row r="227" ht="11.25" customHeight="1">
      <c r="A227" s="1"/>
      <c r="B227" s="1"/>
      <c r="C227" s="61"/>
      <c r="S227" s="34"/>
      <c r="T227" s="80"/>
      <c r="U227" s="61"/>
      <c r="AK227" s="34"/>
      <c r="AL227" s="80"/>
      <c r="AM227" s="61"/>
      <c r="BC227" s="34"/>
      <c r="BD227" s="1"/>
      <c r="BE227" s="61"/>
      <c r="BU227" s="34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</row>
    <row r="228" ht="11.25" customHeight="1">
      <c r="A228" s="1"/>
      <c r="B228" s="1"/>
      <c r="C228" s="61"/>
      <c r="S228" s="34"/>
      <c r="T228" s="80"/>
      <c r="U228" s="61"/>
      <c r="AK228" s="34"/>
      <c r="AL228" s="80"/>
      <c r="AM228" s="61"/>
      <c r="BC228" s="34"/>
      <c r="BD228" s="1"/>
      <c r="BE228" s="61"/>
      <c r="BU228" s="34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</row>
    <row r="229" ht="11.25" customHeight="1">
      <c r="A229" s="1"/>
      <c r="B229" s="1"/>
      <c r="C229" s="61"/>
      <c r="S229" s="34"/>
      <c r="T229" s="80"/>
      <c r="U229" s="61"/>
      <c r="AK229" s="34"/>
      <c r="AL229" s="80"/>
      <c r="AM229" s="61"/>
      <c r="BC229" s="34"/>
      <c r="BD229" s="1"/>
      <c r="BE229" s="61"/>
      <c r="BU229" s="34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</row>
    <row r="230" ht="11.25" customHeight="1">
      <c r="A230" s="1"/>
      <c r="B230" s="1"/>
      <c r="C230" s="61"/>
      <c r="S230" s="34"/>
      <c r="T230" s="80"/>
      <c r="U230" s="61"/>
      <c r="AK230" s="34"/>
      <c r="AL230" s="80"/>
      <c r="AM230" s="61"/>
      <c r="BC230" s="34"/>
      <c r="BD230" s="1"/>
      <c r="BE230" s="61"/>
      <c r="BU230" s="34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</row>
    <row r="231" ht="11.25" customHeight="1">
      <c r="A231" s="1"/>
      <c r="B231" s="1"/>
      <c r="C231" s="61"/>
      <c r="S231" s="34"/>
      <c r="T231" s="80"/>
      <c r="U231" s="61"/>
      <c r="AK231" s="34"/>
      <c r="AL231" s="80"/>
      <c r="AM231" s="61"/>
      <c r="BC231" s="34"/>
      <c r="BD231" s="1"/>
      <c r="BE231" s="61"/>
      <c r="BU231" s="34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</row>
    <row r="232" ht="11.25" customHeight="1">
      <c r="A232" s="1"/>
      <c r="B232" s="1"/>
      <c r="C232" s="11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3"/>
      <c r="T232" s="80"/>
      <c r="U232" s="11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3"/>
      <c r="AL232" s="80"/>
      <c r="AM232" s="11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3"/>
      <c r="BD232" s="1"/>
      <c r="BE232" s="11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3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</row>
    <row r="233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0" t="s">
        <v>42</v>
      </c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20" t="s">
        <v>42</v>
      </c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20" t="s">
        <v>42</v>
      </c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20" t="s">
        <v>42</v>
      </c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</row>
    <row r="234" ht="11.25" customHeight="1">
      <c r="A234" s="1"/>
      <c r="B234" s="1"/>
      <c r="C234" s="4" t="s">
        <v>182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6"/>
      <c r="R234" s="4">
        <f>SWITCH(C$148,"Fast Track",18,"Slow Track",20,19)</f>
        <v>18</v>
      </c>
      <c r="S234" s="6"/>
      <c r="T234" s="1"/>
      <c r="U234" s="4" t="s">
        <v>182</v>
      </c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6"/>
      <c r="AJ234" s="4">
        <f>SWITCH(U$148,"Fast Track",18,"Slow Track",20,19)</f>
        <v>19</v>
      </c>
      <c r="AK234" s="6"/>
      <c r="AL234" s="1"/>
      <c r="AM234" s="4" t="s">
        <v>182</v>
      </c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6"/>
      <c r="BB234" s="4">
        <f>SWITCH(AM$148,"Fast Track",18,"Slow Track",20,19)</f>
        <v>20</v>
      </c>
      <c r="BC234" s="6"/>
      <c r="BD234" s="1"/>
      <c r="BE234" s="4" t="s">
        <v>182</v>
      </c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6"/>
      <c r="BT234" s="4">
        <f>SWITCH(BE$148,"Fast Track",18,"Slow Track",20,19)</f>
        <v>19</v>
      </c>
      <c r="BU234" s="6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</row>
    <row r="235" ht="11.25" customHeight="1">
      <c r="A235" s="1"/>
      <c r="B235" s="1"/>
      <c r="C235" s="11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3"/>
      <c r="R235" s="11"/>
      <c r="S235" s="13"/>
      <c r="T235" s="1"/>
      <c r="U235" s="11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3"/>
      <c r="AJ235" s="11"/>
      <c r="AK235" s="13"/>
      <c r="AL235" s="1"/>
      <c r="AM235" s="11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3"/>
      <c r="BB235" s="11"/>
      <c r="BC235" s="13"/>
      <c r="BD235" s="1"/>
      <c r="BE235" s="11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3"/>
      <c r="BT235" s="11"/>
      <c r="BU235" s="13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</row>
    <row r="236" ht="11.25" customHeight="1">
      <c r="A236" s="1"/>
      <c r="B236" s="1"/>
      <c r="C236" s="4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6"/>
      <c r="T236" s="1"/>
      <c r="U236" s="48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6"/>
      <c r="AL236" s="1"/>
      <c r="AM236" s="48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6"/>
      <c r="BD236" s="1"/>
      <c r="BE236" s="48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6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</row>
    <row r="237" ht="11.25" customHeight="1">
      <c r="A237" s="1"/>
      <c r="B237" s="1"/>
      <c r="C237" s="11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3"/>
      <c r="T237" s="1"/>
      <c r="U237" s="11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3"/>
      <c r="AL237" s="1"/>
      <c r="AM237" s="11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3"/>
      <c r="BD237" s="1"/>
      <c r="BE237" s="11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3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</row>
    <row r="238" ht="11.25" customHeight="1">
      <c r="A238" s="1"/>
      <c r="B238" s="1"/>
      <c r="C238" s="79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6"/>
      <c r="T238" s="80"/>
      <c r="U238" s="79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6"/>
      <c r="AL238" s="80"/>
      <c r="AM238" s="79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6"/>
      <c r="BD238" s="1"/>
      <c r="BE238" s="79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6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</row>
    <row r="239" ht="11.25" customHeight="1">
      <c r="A239" s="1"/>
      <c r="B239" s="1"/>
      <c r="C239" s="61"/>
      <c r="S239" s="34"/>
      <c r="T239" s="80"/>
      <c r="U239" s="61"/>
      <c r="AK239" s="34"/>
      <c r="AL239" s="80"/>
      <c r="AM239" s="61"/>
      <c r="BC239" s="34"/>
      <c r="BD239" s="1"/>
      <c r="BE239" s="61"/>
      <c r="BU239" s="34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</row>
    <row r="240" ht="11.25" customHeight="1">
      <c r="A240" s="1"/>
      <c r="B240" s="1"/>
      <c r="C240" s="61"/>
      <c r="S240" s="34"/>
      <c r="T240" s="80"/>
      <c r="U240" s="61"/>
      <c r="AK240" s="34"/>
      <c r="AL240" s="80"/>
      <c r="AM240" s="61"/>
      <c r="BC240" s="34"/>
      <c r="BD240" s="1"/>
      <c r="BE240" s="61"/>
      <c r="BU240" s="34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</row>
    <row r="241" ht="11.25" customHeight="1">
      <c r="A241" s="1"/>
      <c r="B241" s="1"/>
      <c r="C241" s="61"/>
      <c r="S241" s="34"/>
      <c r="T241" s="80"/>
      <c r="U241" s="61"/>
      <c r="AK241" s="34"/>
      <c r="AL241" s="80"/>
      <c r="AM241" s="61"/>
      <c r="BC241" s="34"/>
      <c r="BD241" s="1"/>
      <c r="BE241" s="61"/>
      <c r="BU241" s="34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</row>
    <row r="242" ht="11.25" customHeight="1">
      <c r="A242" s="1"/>
      <c r="B242" s="1"/>
      <c r="C242" s="61"/>
      <c r="S242" s="34"/>
      <c r="T242" s="80"/>
      <c r="U242" s="61"/>
      <c r="AK242" s="34"/>
      <c r="AL242" s="80"/>
      <c r="AM242" s="61"/>
      <c r="BC242" s="34"/>
      <c r="BD242" s="1"/>
      <c r="BE242" s="61"/>
      <c r="BU242" s="34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</row>
    <row r="243" ht="11.25" customHeight="1">
      <c r="A243" s="1"/>
      <c r="B243" s="1"/>
      <c r="C243" s="61"/>
      <c r="S243" s="34"/>
      <c r="T243" s="80"/>
      <c r="U243" s="61"/>
      <c r="AK243" s="34"/>
      <c r="AL243" s="80"/>
      <c r="AM243" s="61"/>
      <c r="BC243" s="34"/>
      <c r="BD243" s="1"/>
      <c r="BE243" s="61"/>
      <c r="BU243" s="34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</row>
    <row r="244" ht="11.25" customHeight="1">
      <c r="A244" s="1"/>
      <c r="B244" s="1"/>
      <c r="C244" s="61"/>
      <c r="S244" s="34"/>
      <c r="T244" s="80"/>
      <c r="U244" s="61"/>
      <c r="AK244" s="34"/>
      <c r="AL244" s="80"/>
      <c r="AM244" s="61"/>
      <c r="BC244" s="34"/>
      <c r="BD244" s="1"/>
      <c r="BE244" s="61"/>
      <c r="BU244" s="34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</row>
    <row r="245" ht="11.25" customHeight="1">
      <c r="A245" s="1"/>
      <c r="B245" s="1"/>
      <c r="C245" s="11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3"/>
      <c r="T245" s="80"/>
      <c r="U245" s="11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3"/>
      <c r="AL245" s="80"/>
      <c r="AM245" s="11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3"/>
      <c r="BD245" s="1"/>
      <c r="BE245" s="11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3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</row>
    <row r="24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</row>
    <row r="247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  <c r="BF247" s="81"/>
      <c r="BG247" s="81"/>
      <c r="BH247" s="81"/>
      <c r="BI247" s="81"/>
      <c r="BJ247" s="81"/>
      <c r="BK247" s="81"/>
      <c r="BL247" s="81"/>
      <c r="BM247" s="81"/>
      <c r="BN247" s="81"/>
      <c r="BO247" s="81"/>
      <c r="BP247" s="81"/>
      <c r="BQ247" s="81"/>
      <c r="BR247" s="81"/>
      <c r="BS247" s="81"/>
      <c r="BT247" s="81"/>
      <c r="BU247" s="81"/>
      <c r="BV247" s="8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</row>
    <row r="248" ht="11.25" customHeight="1">
      <c r="A248" s="1"/>
      <c r="B248" s="81"/>
      <c r="C248" s="58" t="s">
        <v>111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6"/>
      <c r="BV248" s="8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</row>
    <row r="249" ht="11.25" customHeight="1">
      <c r="A249" s="1"/>
      <c r="B249" s="81"/>
      <c r="C249" s="11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3"/>
      <c r="BV249" s="8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</row>
    <row r="250" ht="11.25" customHeight="1">
      <c r="A250" s="1"/>
      <c r="B250" s="82"/>
      <c r="C250" s="79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6"/>
      <c r="BV250" s="8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</row>
    <row r="251" ht="11.25" customHeight="1">
      <c r="A251" s="1"/>
      <c r="B251" s="82"/>
      <c r="C251" s="61"/>
      <c r="BU251" s="34"/>
      <c r="BV251" s="8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</row>
    <row r="252" ht="11.25" customHeight="1">
      <c r="A252" s="1"/>
      <c r="B252" s="82"/>
      <c r="C252" s="61"/>
      <c r="BU252" s="34"/>
      <c r="BV252" s="8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</row>
    <row r="253" ht="11.25" customHeight="1">
      <c r="A253" s="1"/>
      <c r="B253" s="82"/>
      <c r="C253" s="61"/>
      <c r="BU253" s="34"/>
      <c r="BV253" s="8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</row>
    <row r="254" ht="11.25" customHeight="1">
      <c r="A254" s="1"/>
      <c r="B254" s="82"/>
      <c r="C254" s="61"/>
      <c r="BU254" s="34"/>
      <c r="BV254" s="8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</row>
    <row r="255" ht="11.25" customHeight="1">
      <c r="A255" s="1"/>
      <c r="B255" s="82"/>
      <c r="C255" s="61"/>
      <c r="BU255" s="34"/>
      <c r="BV255" s="8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</row>
    <row r="256" ht="11.25" customHeight="1">
      <c r="A256" s="1"/>
      <c r="B256" s="82"/>
      <c r="C256" s="61"/>
      <c r="BU256" s="34"/>
      <c r="BV256" s="8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</row>
    <row r="257" ht="11.25" customHeight="1">
      <c r="A257" s="1"/>
      <c r="B257" s="82"/>
      <c r="C257" s="61"/>
      <c r="BU257" s="34"/>
      <c r="BV257" s="8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</row>
    <row r="258" ht="11.25" customHeight="1">
      <c r="A258" s="1"/>
      <c r="B258" s="82"/>
      <c r="C258" s="61"/>
      <c r="BU258" s="34"/>
      <c r="BV258" s="8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</row>
    <row r="259" ht="11.25" customHeight="1">
      <c r="A259" s="1"/>
      <c r="B259" s="82"/>
      <c r="C259" s="61"/>
      <c r="BU259" s="34"/>
      <c r="BV259" s="8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</row>
    <row r="260" ht="11.25" customHeight="1">
      <c r="A260" s="1"/>
      <c r="B260" s="82"/>
      <c r="C260" s="61"/>
      <c r="BU260" s="34"/>
      <c r="BV260" s="8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</row>
    <row r="261" ht="11.25" customHeight="1">
      <c r="A261" s="1"/>
      <c r="B261" s="82"/>
      <c r="C261" s="61"/>
      <c r="BU261" s="34"/>
      <c r="BV261" s="8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</row>
    <row r="262" ht="11.25" customHeight="1">
      <c r="A262" s="1"/>
      <c r="B262" s="82"/>
      <c r="C262" s="61"/>
      <c r="BU262" s="34"/>
      <c r="BV262" s="8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</row>
    <row r="263" ht="11.25" customHeight="1">
      <c r="A263" s="1"/>
      <c r="B263" s="82"/>
      <c r="C263" s="61"/>
      <c r="BU263" s="34"/>
      <c r="BV263" s="8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</row>
    <row r="264" ht="11.25" customHeight="1">
      <c r="A264" s="1"/>
      <c r="B264" s="82"/>
      <c r="C264" s="61"/>
      <c r="BU264" s="34"/>
      <c r="BV264" s="8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</row>
    <row r="265" ht="11.25" customHeight="1">
      <c r="A265" s="1"/>
      <c r="B265" s="82"/>
      <c r="C265" s="61"/>
      <c r="BU265" s="34"/>
      <c r="BV265" s="8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</row>
    <row r="266" ht="11.25" customHeight="1">
      <c r="A266" s="1"/>
      <c r="B266" s="82"/>
      <c r="C266" s="61"/>
      <c r="BU266" s="34"/>
      <c r="BV266" s="8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</row>
    <row r="267" ht="11.25" customHeight="1">
      <c r="A267" s="1"/>
      <c r="B267" s="82"/>
      <c r="C267" s="61"/>
      <c r="BU267" s="34"/>
      <c r="BV267" s="8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</row>
    <row r="268" ht="11.25" customHeight="1">
      <c r="A268" s="1"/>
      <c r="B268" s="82"/>
      <c r="C268" s="61"/>
      <c r="BU268" s="34"/>
      <c r="BV268" s="8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</row>
    <row r="269" ht="11.25" customHeight="1">
      <c r="A269" s="1"/>
      <c r="B269" s="82"/>
      <c r="C269" s="61"/>
      <c r="BU269" s="34"/>
      <c r="BV269" s="8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</row>
    <row r="270" ht="11.25" customHeight="1">
      <c r="A270" s="1"/>
      <c r="B270" s="82"/>
      <c r="C270" s="61"/>
      <c r="BU270" s="34"/>
      <c r="BV270" s="8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</row>
    <row r="271" ht="11.25" customHeight="1">
      <c r="A271" s="1"/>
      <c r="B271" s="82"/>
      <c r="C271" s="61"/>
      <c r="BU271" s="34"/>
      <c r="BV271" s="8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</row>
    <row r="272" ht="11.25" customHeight="1">
      <c r="A272" s="1"/>
      <c r="B272" s="82"/>
      <c r="C272" s="61"/>
      <c r="BU272" s="34"/>
      <c r="BV272" s="8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</row>
    <row r="273" ht="11.25" customHeight="1">
      <c r="A273" s="1"/>
      <c r="B273" s="82"/>
      <c r="C273" s="61"/>
      <c r="BU273" s="34"/>
      <c r="BV273" s="8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</row>
    <row r="274" ht="11.25" customHeight="1">
      <c r="A274" s="1"/>
      <c r="B274" s="82"/>
      <c r="C274" s="61"/>
      <c r="BU274" s="34"/>
      <c r="BV274" s="8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</row>
    <row r="275" ht="11.25" customHeight="1">
      <c r="A275" s="1"/>
      <c r="B275" s="82"/>
      <c r="C275" s="61"/>
      <c r="BU275" s="34"/>
      <c r="BV275" s="8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</row>
    <row r="276" ht="11.25" customHeight="1">
      <c r="A276" s="1"/>
      <c r="B276" s="82"/>
      <c r="C276" s="61"/>
      <c r="BU276" s="34"/>
      <c r="BV276" s="8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</row>
    <row r="277" ht="11.25" customHeight="1">
      <c r="A277" s="1"/>
      <c r="B277" s="82"/>
      <c r="C277" s="61"/>
      <c r="BU277" s="34"/>
      <c r="BV277" s="8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</row>
    <row r="278" ht="11.25" customHeight="1">
      <c r="A278" s="1"/>
      <c r="B278" s="82"/>
      <c r="C278" s="61"/>
      <c r="BU278" s="34"/>
      <c r="BV278" s="8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</row>
    <row r="279" ht="11.25" customHeight="1">
      <c r="A279" s="1"/>
      <c r="B279" s="82"/>
      <c r="C279" s="11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3"/>
      <c r="BV279" s="8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</row>
    <row r="280" ht="11.25" customHeight="1">
      <c r="A280" s="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  <c r="AP280" s="81"/>
      <c r="AQ280" s="81"/>
      <c r="AR280" s="81"/>
      <c r="AS280" s="81"/>
      <c r="AT280" s="81"/>
      <c r="AU280" s="81"/>
      <c r="AV280" s="81"/>
      <c r="AW280" s="81"/>
      <c r="AX280" s="81"/>
      <c r="AY280" s="81"/>
      <c r="AZ280" s="81"/>
      <c r="BA280" s="81"/>
      <c r="BB280" s="81"/>
      <c r="BC280" s="81"/>
      <c r="BD280" s="81"/>
      <c r="BE280" s="81"/>
      <c r="BF280" s="81"/>
      <c r="BG280" s="81"/>
      <c r="BH280" s="81"/>
      <c r="BI280" s="81"/>
      <c r="BJ280" s="81"/>
      <c r="BK280" s="81"/>
      <c r="BL280" s="81"/>
      <c r="BM280" s="81"/>
      <c r="BN280" s="81"/>
      <c r="BO280" s="81"/>
      <c r="BP280" s="81"/>
      <c r="BQ280" s="81"/>
      <c r="BR280" s="81"/>
      <c r="BS280" s="81"/>
      <c r="BT280" s="81"/>
      <c r="BU280" s="81"/>
      <c r="BV280" s="8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</row>
    <row r="281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</row>
    <row r="282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</row>
    <row r="283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</row>
  </sheetData>
  <mergeCells count="950">
    <mergeCell ref="AJ207:AK207"/>
    <mergeCell ref="C199:S206"/>
    <mergeCell ref="R207:S207"/>
    <mergeCell ref="U199:AK206"/>
    <mergeCell ref="U111:Y112"/>
    <mergeCell ref="I118:AE119"/>
    <mergeCell ref="AI130:AK130"/>
    <mergeCell ref="AF130:AH130"/>
    <mergeCell ref="AG118:AK119"/>
    <mergeCell ref="U158:AK159"/>
    <mergeCell ref="AH152:AK152"/>
    <mergeCell ref="AI147:AK147"/>
    <mergeCell ref="AI148:AK149"/>
    <mergeCell ref="AE153:AG154"/>
    <mergeCell ref="AH153:AK154"/>
    <mergeCell ref="Z130:AD130"/>
    <mergeCell ref="Z131:AD132"/>
    <mergeCell ref="H111:J112"/>
    <mergeCell ref="H110:J110"/>
    <mergeCell ref="C238:S245"/>
    <mergeCell ref="C236:S237"/>
    <mergeCell ref="U234:AI235"/>
    <mergeCell ref="U225:AK232"/>
    <mergeCell ref="R220:S220"/>
    <mergeCell ref="R234:S235"/>
    <mergeCell ref="R233:S233"/>
    <mergeCell ref="C208:Q209"/>
    <mergeCell ref="C212:S219"/>
    <mergeCell ref="R208:S209"/>
    <mergeCell ref="U223:AK224"/>
    <mergeCell ref="R221:S222"/>
    <mergeCell ref="AJ221:AK222"/>
    <mergeCell ref="U221:AI222"/>
    <mergeCell ref="U212:AK219"/>
    <mergeCell ref="AJ220:AK220"/>
    <mergeCell ref="U173:AK180"/>
    <mergeCell ref="U171:AK172"/>
    <mergeCell ref="R169:S170"/>
    <mergeCell ref="R168:S168"/>
    <mergeCell ref="U160:AK167"/>
    <mergeCell ref="U169:AI170"/>
    <mergeCell ref="AI110:AK110"/>
    <mergeCell ref="AI111:AK112"/>
    <mergeCell ref="N110:P110"/>
    <mergeCell ref="Q110:S110"/>
    <mergeCell ref="I108:AE109"/>
    <mergeCell ref="AF110:AH110"/>
    <mergeCell ref="Z110:AD110"/>
    <mergeCell ref="AG108:AK109"/>
    <mergeCell ref="Z111:AD112"/>
    <mergeCell ref="C234:Q235"/>
    <mergeCell ref="C221:Q222"/>
    <mergeCell ref="U210:AK211"/>
    <mergeCell ref="C210:S211"/>
    <mergeCell ref="U236:AK237"/>
    <mergeCell ref="U238:AK245"/>
    <mergeCell ref="AJ234:AK235"/>
    <mergeCell ref="AJ233:AK233"/>
    <mergeCell ref="AJ169:AK170"/>
    <mergeCell ref="AJ168:AK168"/>
    <mergeCell ref="AJ208:AK209"/>
    <mergeCell ref="U208:AI209"/>
    <mergeCell ref="C223:S224"/>
    <mergeCell ref="C225:S232"/>
    <mergeCell ref="AF111:AH112"/>
    <mergeCell ref="AE111:AE112"/>
    <mergeCell ref="BE156:BS157"/>
    <mergeCell ref="BE160:BU167"/>
    <mergeCell ref="BE158:BU159"/>
    <mergeCell ref="BT156:BU157"/>
    <mergeCell ref="BE148:BR149"/>
    <mergeCell ref="BE153:BH154"/>
    <mergeCell ref="BL153:BN154"/>
    <mergeCell ref="BO152:BQ152"/>
    <mergeCell ref="BE139:BU140"/>
    <mergeCell ref="AV139:BD140"/>
    <mergeCell ref="AT139:AU140"/>
    <mergeCell ref="BE141:BU142"/>
    <mergeCell ref="AT133:AU134"/>
    <mergeCell ref="AT153:AV154"/>
    <mergeCell ref="BE127:BU128"/>
    <mergeCell ref="BE135:BU136"/>
    <mergeCell ref="BE171:BU172"/>
    <mergeCell ref="BT155:BU155"/>
    <mergeCell ref="BE115:BU116"/>
    <mergeCell ref="BE117:BU118"/>
    <mergeCell ref="AV117:BD118"/>
    <mergeCell ref="BE197:BU198"/>
    <mergeCell ref="AM197:BC198"/>
    <mergeCell ref="AT131:AU132"/>
    <mergeCell ref="BE137:BU138"/>
    <mergeCell ref="BR152:BU152"/>
    <mergeCell ref="AM171:BC172"/>
    <mergeCell ref="BE169:BS170"/>
    <mergeCell ref="BB169:BC170"/>
    <mergeCell ref="AM169:BA170"/>
    <mergeCell ref="BB194:BC194"/>
    <mergeCell ref="BB168:BC168"/>
    <mergeCell ref="BE119:BU120"/>
    <mergeCell ref="AV119:BD120"/>
    <mergeCell ref="BE121:BU122"/>
    <mergeCell ref="AV121:BD122"/>
    <mergeCell ref="BE131:BU132"/>
    <mergeCell ref="BE129:BU130"/>
    <mergeCell ref="BE123:BU124"/>
    <mergeCell ref="BE125:BU126"/>
    <mergeCell ref="BE133:BU134"/>
    <mergeCell ref="AV133:BD134"/>
    <mergeCell ref="BT182:BU183"/>
    <mergeCell ref="BE199:BU206"/>
    <mergeCell ref="BT181:BU181"/>
    <mergeCell ref="BT233:BU233"/>
    <mergeCell ref="BE238:BU245"/>
    <mergeCell ref="BE236:BU237"/>
    <mergeCell ref="BT234:BU235"/>
    <mergeCell ref="BE234:BS235"/>
    <mergeCell ref="BT207:BU207"/>
    <mergeCell ref="BT220:BU220"/>
    <mergeCell ref="BE208:BS209"/>
    <mergeCell ref="BT208:BU209"/>
    <mergeCell ref="BE210:BU211"/>
    <mergeCell ref="BE212:BU219"/>
    <mergeCell ref="BB220:BC220"/>
    <mergeCell ref="BB234:BC235"/>
    <mergeCell ref="BT194:BU194"/>
    <mergeCell ref="BS148:BU149"/>
    <mergeCell ref="AM182:BA183"/>
    <mergeCell ref="AM173:BC180"/>
    <mergeCell ref="AM212:BC219"/>
    <mergeCell ref="AM210:BC211"/>
    <mergeCell ref="AM238:BC245"/>
    <mergeCell ref="AM236:BC237"/>
    <mergeCell ref="AM223:BC224"/>
    <mergeCell ref="AM208:BA209"/>
    <mergeCell ref="BB208:BC209"/>
    <mergeCell ref="BB207:BC207"/>
    <mergeCell ref="AM199:BC206"/>
    <mergeCell ref="AM221:BA222"/>
    <mergeCell ref="BE173:BU180"/>
    <mergeCell ref="BI153:BK154"/>
    <mergeCell ref="AO101:AQ102"/>
    <mergeCell ref="AL101:AN102"/>
    <mergeCell ref="AL91:AN92"/>
    <mergeCell ref="AL98:AQ99"/>
    <mergeCell ref="AO111:AQ112"/>
    <mergeCell ref="AO110:AQ110"/>
    <mergeCell ref="AL111:AN112"/>
    <mergeCell ref="AL110:AN110"/>
    <mergeCell ref="AL120:AN120"/>
    <mergeCell ref="AO121:AQ122"/>
    <mergeCell ref="AO120:AQ120"/>
    <mergeCell ref="AL121:AN122"/>
    <mergeCell ref="AO91:AQ92"/>
    <mergeCell ref="AL88:AQ89"/>
    <mergeCell ref="AL108:AQ109"/>
    <mergeCell ref="AL118:AQ119"/>
    <mergeCell ref="K121:M122"/>
    <mergeCell ref="N121:P122"/>
    <mergeCell ref="C121:G122"/>
    <mergeCell ref="C124:H125"/>
    <mergeCell ref="C118:H119"/>
    <mergeCell ref="I124:AQ125"/>
    <mergeCell ref="I114:AQ115"/>
    <mergeCell ref="K111:M112"/>
    <mergeCell ref="N111:P112"/>
    <mergeCell ref="K84:M85"/>
    <mergeCell ref="N90:P90"/>
    <mergeCell ref="K101:M102"/>
    <mergeCell ref="N101:P102"/>
    <mergeCell ref="K110:M110"/>
    <mergeCell ref="K90:M90"/>
    <mergeCell ref="AL90:AN90"/>
    <mergeCell ref="AO90:AQ90"/>
    <mergeCell ref="I94:AQ95"/>
    <mergeCell ref="AV109:BD110"/>
    <mergeCell ref="AV111:BD112"/>
    <mergeCell ref="AT113:AU114"/>
    <mergeCell ref="AT109:AU110"/>
    <mergeCell ref="AT111:AU112"/>
    <mergeCell ref="AT108:AU108"/>
    <mergeCell ref="AF101:AH102"/>
    <mergeCell ref="AE101:AE102"/>
    <mergeCell ref="I104:AQ105"/>
    <mergeCell ref="AO100:AQ100"/>
    <mergeCell ref="AL100:AN100"/>
    <mergeCell ref="Z100:AD100"/>
    <mergeCell ref="Q101:S102"/>
    <mergeCell ref="Q100:S100"/>
    <mergeCell ref="H120:J120"/>
    <mergeCell ref="H121:J122"/>
    <mergeCell ref="H100:J100"/>
    <mergeCell ref="H101:J102"/>
    <mergeCell ref="N120:P120"/>
    <mergeCell ref="K120:M120"/>
    <mergeCell ref="Q111:S112"/>
    <mergeCell ref="N84:P85"/>
    <mergeCell ref="T84:V85"/>
    <mergeCell ref="Q84:S85"/>
    <mergeCell ref="T76:V77"/>
    <mergeCell ref="Q76:S77"/>
    <mergeCell ref="N76:P77"/>
    <mergeCell ref="K76:M77"/>
    <mergeCell ref="Z76:AB77"/>
    <mergeCell ref="W76:Y77"/>
    <mergeCell ref="W84:Y85"/>
    <mergeCell ref="AF84:AH85"/>
    <mergeCell ref="AI84:AK85"/>
    <mergeCell ref="AL84:AN85"/>
    <mergeCell ref="AO84:AQ85"/>
    <mergeCell ref="AA84:AE85"/>
    <mergeCell ref="C80:AQ81"/>
    <mergeCell ref="C84:G85"/>
    <mergeCell ref="H83:J83"/>
    <mergeCell ref="H84:J85"/>
    <mergeCell ref="K83:M83"/>
    <mergeCell ref="N83:P83"/>
    <mergeCell ref="Z91:AD92"/>
    <mergeCell ref="AI91:AK92"/>
    <mergeCell ref="AF91:AH92"/>
    <mergeCell ref="AE91:AE92"/>
    <mergeCell ref="AI90:AK90"/>
    <mergeCell ref="BH91:BU92"/>
    <mergeCell ref="AT91:BG92"/>
    <mergeCell ref="H91:J92"/>
    <mergeCell ref="K91:M92"/>
    <mergeCell ref="I88:AE89"/>
    <mergeCell ref="AG88:AK89"/>
    <mergeCell ref="BH89:BU90"/>
    <mergeCell ref="BH85:BU86"/>
    <mergeCell ref="AT87:BG88"/>
    <mergeCell ref="AT85:BG86"/>
    <mergeCell ref="AT89:BG90"/>
    <mergeCell ref="BH87:BU88"/>
    <mergeCell ref="AF90:AH90"/>
    <mergeCell ref="Q90:S90"/>
    <mergeCell ref="Z90:AD90"/>
    <mergeCell ref="H90:J90"/>
    <mergeCell ref="U91:Y92"/>
    <mergeCell ref="Q91:S92"/>
    <mergeCell ref="N91:P92"/>
    <mergeCell ref="BA66:BU67"/>
    <mergeCell ref="AW66:AZ67"/>
    <mergeCell ref="AJ67:AL68"/>
    <mergeCell ref="AW68:AZ69"/>
    <mergeCell ref="BA68:BU69"/>
    <mergeCell ref="BA72:BU73"/>
    <mergeCell ref="AD70:AF71"/>
    <mergeCell ref="AB70:AC71"/>
    <mergeCell ref="AJ73:AL74"/>
    <mergeCell ref="AW72:AZ73"/>
    <mergeCell ref="AB73:AC74"/>
    <mergeCell ref="AD73:AF74"/>
    <mergeCell ref="BA64:BU65"/>
    <mergeCell ref="AB67:AC68"/>
    <mergeCell ref="Y67:AA68"/>
    <mergeCell ref="Y70:AA71"/>
    <mergeCell ref="AD67:AF68"/>
    <mergeCell ref="BB221:BC222"/>
    <mergeCell ref="BB233:BC233"/>
    <mergeCell ref="BE225:BU232"/>
    <mergeCell ref="BE221:BS222"/>
    <mergeCell ref="BE223:BU224"/>
    <mergeCell ref="BT221:BU222"/>
    <mergeCell ref="C248:BU249"/>
    <mergeCell ref="C250:BU279"/>
    <mergeCell ref="AM225:BC232"/>
    <mergeCell ref="AM234:BA235"/>
    <mergeCell ref="AM158:BC159"/>
    <mergeCell ref="AM160:BC167"/>
    <mergeCell ref="K141:AQ142"/>
    <mergeCell ref="BT169:BU170"/>
    <mergeCell ref="BT168:BU168"/>
    <mergeCell ref="AW152:AY152"/>
    <mergeCell ref="AZ153:BC154"/>
    <mergeCell ref="BR153:BU154"/>
    <mergeCell ref="BO153:BQ154"/>
    <mergeCell ref="AM156:BA157"/>
    <mergeCell ref="AV108:BD108"/>
    <mergeCell ref="BE108:BU108"/>
    <mergeCell ref="AV115:BD116"/>
    <mergeCell ref="AV113:BD114"/>
    <mergeCell ref="BE111:BU112"/>
    <mergeCell ref="BE109:BU110"/>
    <mergeCell ref="BE113:BU114"/>
    <mergeCell ref="AT105:BU106"/>
    <mergeCell ref="AM195:BA196"/>
    <mergeCell ref="BB195:BC196"/>
    <mergeCell ref="BE182:BS183"/>
    <mergeCell ref="BB181:BC181"/>
    <mergeCell ref="BB182:BC183"/>
    <mergeCell ref="BE186:BU193"/>
    <mergeCell ref="BE184:BU185"/>
    <mergeCell ref="BT195:BU196"/>
    <mergeCell ref="BE195:BS196"/>
    <mergeCell ref="AM186:BC193"/>
    <mergeCell ref="AM184:BC185"/>
    <mergeCell ref="BB155:BC155"/>
    <mergeCell ref="BB156:BC157"/>
    <mergeCell ref="N100:P100"/>
    <mergeCell ref="K100:M100"/>
    <mergeCell ref="AF100:AH100"/>
    <mergeCell ref="Z101:AD102"/>
    <mergeCell ref="U101:Y102"/>
    <mergeCell ref="I98:AE99"/>
    <mergeCell ref="AG98:AK99"/>
    <mergeCell ref="BH97:BU98"/>
    <mergeCell ref="AT97:BG98"/>
    <mergeCell ref="BH99:BU100"/>
    <mergeCell ref="AT99:BG100"/>
    <mergeCell ref="AI100:AK100"/>
    <mergeCell ref="AI101:AK102"/>
    <mergeCell ref="AT101:BG102"/>
    <mergeCell ref="BH101:BU102"/>
    <mergeCell ref="BH95:BU96"/>
    <mergeCell ref="BH93:BU94"/>
    <mergeCell ref="AT95:BG96"/>
    <mergeCell ref="AT93:BG94"/>
    <mergeCell ref="BL49:BN50"/>
    <mergeCell ref="BR51:BU52"/>
    <mergeCell ref="BR49:BU50"/>
    <mergeCell ref="BZ47:CB48"/>
    <mergeCell ref="BX47:BY48"/>
    <mergeCell ref="BL47:BN48"/>
    <mergeCell ref="CH56:CK57"/>
    <mergeCell ref="CG60:CN61"/>
    <mergeCell ref="BX56:CD57"/>
    <mergeCell ref="CE56:CG57"/>
    <mergeCell ref="BX60:CE61"/>
    <mergeCell ref="CC47:CE48"/>
    <mergeCell ref="BX51:CN52"/>
    <mergeCell ref="BL45:BN46"/>
    <mergeCell ref="BO45:BQ46"/>
    <mergeCell ref="CI45:CK46"/>
    <mergeCell ref="CL45:CN46"/>
    <mergeCell ref="CI47:CK48"/>
    <mergeCell ref="CF47:CH48"/>
    <mergeCell ref="CC45:CE46"/>
    <mergeCell ref="CF45:CH46"/>
    <mergeCell ref="BZ45:CB46"/>
    <mergeCell ref="BX45:BY46"/>
    <mergeCell ref="BR45:BU46"/>
    <mergeCell ref="BF49:BH50"/>
    <mergeCell ref="BF45:BH46"/>
    <mergeCell ref="AW45:BC46"/>
    <mergeCell ref="BD45:BE46"/>
    <mergeCell ref="BI45:BK46"/>
    <mergeCell ref="BI51:BK52"/>
    <mergeCell ref="AW49:BC50"/>
    <mergeCell ref="BI49:BK50"/>
    <mergeCell ref="AW51:BC52"/>
    <mergeCell ref="BD49:BE50"/>
    <mergeCell ref="BD51:BE52"/>
    <mergeCell ref="BF51:BH52"/>
    <mergeCell ref="BA62:BU63"/>
    <mergeCell ref="AW62:AZ63"/>
    <mergeCell ref="BA60:BU61"/>
    <mergeCell ref="BA58:BU59"/>
    <mergeCell ref="AW64:AZ65"/>
    <mergeCell ref="AW58:AZ59"/>
    <mergeCell ref="AW60:AZ61"/>
    <mergeCell ref="AQ54:AT55"/>
    <mergeCell ref="AQ52:AT53"/>
    <mergeCell ref="AW70:AZ71"/>
    <mergeCell ref="AW74:AZ77"/>
    <mergeCell ref="AN60:AU77"/>
    <mergeCell ref="BR47:BU48"/>
    <mergeCell ref="AQ47:AT47"/>
    <mergeCell ref="BF47:BH48"/>
    <mergeCell ref="AW55:BU56"/>
    <mergeCell ref="AN58:AU59"/>
    <mergeCell ref="BO47:BQ48"/>
    <mergeCell ref="BI47:BK48"/>
    <mergeCell ref="CL56:CN57"/>
    <mergeCell ref="CL47:CN48"/>
    <mergeCell ref="BL51:BN52"/>
    <mergeCell ref="BO49:BQ50"/>
    <mergeCell ref="BO51:BQ52"/>
    <mergeCell ref="CJ54:CN55"/>
    <mergeCell ref="BX54:CI55"/>
    <mergeCell ref="AQ50:AT51"/>
    <mergeCell ref="AQ48:AT49"/>
    <mergeCell ref="BD47:BE48"/>
    <mergeCell ref="AW47:BC48"/>
    <mergeCell ref="BX66:CN83"/>
    <mergeCell ref="BX64:CN65"/>
    <mergeCell ref="BX88:CN109"/>
    <mergeCell ref="BX86:CN87"/>
    <mergeCell ref="BA70:BU71"/>
    <mergeCell ref="BA74:BU75"/>
    <mergeCell ref="BA76:BU77"/>
    <mergeCell ref="BH83:BU84"/>
    <mergeCell ref="AT80:BU81"/>
    <mergeCell ref="AT83:BG84"/>
    <mergeCell ref="AO83:AQ83"/>
    <mergeCell ref="C76:E77"/>
    <mergeCell ref="C73:E74"/>
    <mergeCell ref="C64:E65"/>
    <mergeCell ref="C61:E62"/>
    <mergeCell ref="C55:K56"/>
    <mergeCell ref="L55:N56"/>
    <mergeCell ref="I57:K57"/>
    <mergeCell ref="L57:N57"/>
    <mergeCell ref="F76:H77"/>
    <mergeCell ref="F73:H74"/>
    <mergeCell ref="F75:H75"/>
    <mergeCell ref="F64:H65"/>
    <mergeCell ref="F60:H60"/>
    <mergeCell ref="F61:H62"/>
    <mergeCell ref="L58:N59"/>
    <mergeCell ref="I67:K68"/>
    <mergeCell ref="L67:N68"/>
    <mergeCell ref="O67:Q68"/>
    <mergeCell ref="S67:X68"/>
    <mergeCell ref="C67:E68"/>
    <mergeCell ref="F67:H68"/>
    <mergeCell ref="AG67:AI68"/>
    <mergeCell ref="I72:K72"/>
    <mergeCell ref="L72:N72"/>
    <mergeCell ref="F72:H72"/>
    <mergeCell ref="C70:J71"/>
    <mergeCell ref="CL58:CN59"/>
    <mergeCell ref="BX58:CJ59"/>
    <mergeCell ref="AB64:AC65"/>
    <mergeCell ref="AD64:AF65"/>
    <mergeCell ref="AD63:AF63"/>
    <mergeCell ref="AD58:AF59"/>
    <mergeCell ref="AG73:AI74"/>
    <mergeCell ref="AJ70:AL71"/>
    <mergeCell ref="AG70:AI71"/>
    <mergeCell ref="S70:X71"/>
    <mergeCell ref="K70:Q71"/>
    <mergeCell ref="W83:Y83"/>
    <mergeCell ref="AF83:AH83"/>
    <mergeCell ref="Q83:S83"/>
    <mergeCell ref="T83:V83"/>
    <mergeCell ref="AL83:AN83"/>
    <mergeCell ref="AI83:AK83"/>
    <mergeCell ref="I58:K59"/>
    <mergeCell ref="C58:H59"/>
    <mergeCell ref="T55:V56"/>
    <mergeCell ref="T54:V54"/>
    <mergeCell ref="P47:AC48"/>
    <mergeCell ref="AF50:AO51"/>
    <mergeCell ref="AF52:AO53"/>
    <mergeCell ref="AF54:AO55"/>
    <mergeCell ref="AF48:AO49"/>
    <mergeCell ref="AF47:AO47"/>
    <mergeCell ref="C51:AC52"/>
    <mergeCell ref="W54:Y54"/>
    <mergeCell ref="Y64:AA65"/>
    <mergeCell ref="S64:X65"/>
    <mergeCell ref="O64:Q65"/>
    <mergeCell ref="AJ64:AL65"/>
    <mergeCell ref="AG64:AI65"/>
    <mergeCell ref="AD57:AF57"/>
    <mergeCell ref="Y57:AA57"/>
    <mergeCell ref="AG57:AI57"/>
    <mergeCell ref="AJ57:AL57"/>
    <mergeCell ref="Y58:AA59"/>
    <mergeCell ref="S58:X59"/>
    <mergeCell ref="AD60:AF60"/>
    <mergeCell ref="AJ60:AL60"/>
    <mergeCell ref="AJ58:AL59"/>
    <mergeCell ref="AG60:AI60"/>
    <mergeCell ref="AG58:AI59"/>
    <mergeCell ref="O61:Q62"/>
    <mergeCell ref="S61:X62"/>
    <mergeCell ref="AD61:AF62"/>
    <mergeCell ref="AG61:AI62"/>
    <mergeCell ref="AJ63:AL63"/>
    <mergeCell ref="AG63:AI63"/>
    <mergeCell ref="AJ61:AL62"/>
    <mergeCell ref="Q55:S56"/>
    <mergeCell ref="Q54:S54"/>
    <mergeCell ref="O57:Q57"/>
    <mergeCell ref="O55:P56"/>
    <mergeCell ref="O60:Q60"/>
    <mergeCell ref="AB58:AC59"/>
    <mergeCell ref="O58:Q59"/>
    <mergeCell ref="W55:Y56"/>
    <mergeCell ref="AB61:AC62"/>
    <mergeCell ref="O63:Q63"/>
    <mergeCell ref="Y61:AA62"/>
    <mergeCell ref="N75:P75"/>
    <mergeCell ref="Q75:S75"/>
    <mergeCell ref="Z75:AB75"/>
    <mergeCell ref="Y73:AA74"/>
    <mergeCell ref="S73:X74"/>
    <mergeCell ref="W75:Y75"/>
    <mergeCell ref="L73:N74"/>
    <mergeCell ref="T75:V75"/>
    <mergeCell ref="I76:J77"/>
    <mergeCell ref="Z42:AC43"/>
    <mergeCell ref="Z41:AC41"/>
    <mergeCell ref="L66:N66"/>
    <mergeCell ref="L64:N65"/>
    <mergeCell ref="U42:X43"/>
    <mergeCell ref="Z44:AC45"/>
    <mergeCell ref="U44:X45"/>
    <mergeCell ref="P41:S41"/>
    <mergeCell ref="U41:X41"/>
    <mergeCell ref="H38:J39"/>
    <mergeCell ref="H37:J37"/>
    <mergeCell ref="K37:N37"/>
    <mergeCell ref="K38:N39"/>
    <mergeCell ref="K34:M35"/>
    <mergeCell ref="H34:J35"/>
    <mergeCell ref="O34:Q35"/>
    <mergeCell ref="S34:U35"/>
    <mergeCell ref="C38:G39"/>
    <mergeCell ref="C34:G35"/>
    <mergeCell ref="I61:K62"/>
    <mergeCell ref="I64:K65"/>
    <mergeCell ref="C47:G48"/>
    <mergeCell ref="H47:J48"/>
    <mergeCell ref="AL42:AN43"/>
    <mergeCell ref="AP42:AT43"/>
    <mergeCell ref="AP40:AT41"/>
    <mergeCell ref="AQ39:AS39"/>
    <mergeCell ref="AQ38:AS38"/>
    <mergeCell ref="AP44:AT45"/>
    <mergeCell ref="AL44:AN45"/>
    <mergeCell ref="AL36:AN37"/>
    <mergeCell ref="AO36:AQ37"/>
    <mergeCell ref="AL35:AN35"/>
    <mergeCell ref="AO35:AQ35"/>
    <mergeCell ref="AR35:AT35"/>
    <mergeCell ref="AR36:AT37"/>
    <mergeCell ref="Z38:AC39"/>
    <mergeCell ref="W38:Y39"/>
    <mergeCell ref="W37:Y37"/>
    <mergeCell ref="Z37:AC37"/>
    <mergeCell ref="AA34:AC35"/>
    <mergeCell ref="AF35:AK35"/>
    <mergeCell ref="AF36:AK37"/>
    <mergeCell ref="W34:Y35"/>
    <mergeCell ref="K42:N43"/>
    <mergeCell ref="K41:N41"/>
    <mergeCell ref="K44:N45"/>
    <mergeCell ref="C42:I43"/>
    <mergeCell ref="K75:M75"/>
    <mergeCell ref="I73:K74"/>
    <mergeCell ref="K47:N48"/>
    <mergeCell ref="L60:N60"/>
    <mergeCell ref="I60:K60"/>
    <mergeCell ref="L61:N62"/>
    <mergeCell ref="L63:N63"/>
    <mergeCell ref="AF42:AK43"/>
    <mergeCell ref="AF44:AK45"/>
    <mergeCell ref="P42:S43"/>
    <mergeCell ref="P44:S45"/>
    <mergeCell ref="AF38:AK39"/>
    <mergeCell ref="AF40:AK41"/>
    <mergeCell ref="R38:V39"/>
    <mergeCell ref="AL38:AN39"/>
    <mergeCell ref="AL40:AN41"/>
    <mergeCell ref="AA31:AC32"/>
    <mergeCell ref="AA28:AC29"/>
    <mergeCell ref="AA22:AC23"/>
    <mergeCell ref="AL32:AN32"/>
    <mergeCell ref="AL33:AN34"/>
    <mergeCell ref="AF30:AK31"/>
    <mergeCell ref="AL29:AN29"/>
    <mergeCell ref="AL30:AN31"/>
    <mergeCell ref="AA25:AC26"/>
    <mergeCell ref="AJ22:AL23"/>
    <mergeCell ref="O18:Q18"/>
    <mergeCell ref="W18:Y18"/>
    <mergeCell ref="S18:U18"/>
    <mergeCell ref="AM18:AO18"/>
    <mergeCell ref="AR18:AT18"/>
    <mergeCell ref="S19:U20"/>
    <mergeCell ref="W19:Y20"/>
    <mergeCell ref="AA18:AC18"/>
    <mergeCell ref="AA19:AC20"/>
    <mergeCell ref="AO30:AQ31"/>
    <mergeCell ref="AO29:AQ29"/>
    <mergeCell ref="AP19:AQ20"/>
    <mergeCell ref="AM19:AO20"/>
    <mergeCell ref="AM21:AO21"/>
    <mergeCell ref="AM22:AO23"/>
    <mergeCell ref="AJ21:AL21"/>
    <mergeCell ref="AR19:AT20"/>
    <mergeCell ref="W22:Y23"/>
    <mergeCell ref="W25:Y26"/>
    <mergeCell ref="W31:Y32"/>
    <mergeCell ref="S31:U32"/>
    <mergeCell ref="W28:Y29"/>
    <mergeCell ref="S28:U29"/>
    <mergeCell ref="H18:J18"/>
    <mergeCell ref="C19:G20"/>
    <mergeCell ref="H19:J20"/>
    <mergeCell ref="H25:J26"/>
    <mergeCell ref="K31:M32"/>
    <mergeCell ref="O31:Q32"/>
    <mergeCell ref="AO33:AQ34"/>
    <mergeCell ref="AO32:AQ32"/>
    <mergeCell ref="AF26:AT27"/>
    <mergeCell ref="AJ19:AL20"/>
    <mergeCell ref="AP22:AQ23"/>
    <mergeCell ref="S22:U23"/>
    <mergeCell ref="AF19:AI20"/>
    <mergeCell ref="AF18:AI18"/>
    <mergeCell ref="K18:M18"/>
    <mergeCell ref="AJ18:AL18"/>
    <mergeCell ref="C15:AC16"/>
    <mergeCell ref="AF15:AT16"/>
    <mergeCell ref="AJ5:AX6"/>
    <mergeCell ref="AJ7:AX8"/>
    <mergeCell ref="AY7:AZ8"/>
    <mergeCell ref="AY5:AZ6"/>
    <mergeCell ref="AJ3:AX4"/>
    <mergeCell ref="AY3:AZ4"/>
    <mergeCell ref="AY9:AZ10"/>
    <mergeCell ref="BA7:BC8"/>
    <mergeCell ref="BA9:BC10"/>
    <mergeCell ref="AJ9:AX10"/>
    <mergeCell ref="H22:J23"/>
    <mergeCell ref="K22:M23"/>
    <mergeCell ref="K19:M20"/>
    <mergeCell ref="O19:Q20"/>
    <mergeCell ref="M9:P10"/>
    <mergeCell ref="M11:P12"/>
    <mergeCell ref="M7:P8"/>
    <mergeCell ref="M3:P4"/>
    <mergeCell ref="M5:P6"/>
    <mergeCell ref="O22:Q23"/>
    <mergeCell ref="C22:G23"/>
    <mergeCell ref="Q9:X10"/>
    <mergeCell ref="C3:K11"/>
    <mergeCell ref="AF3:AI10"/>
    <mergeCell ref="AF11:AI12"/>
    <mergeCell ref="AJ11:AR12"/>
    <mergeCell ref="AS11:AV12"/>
    <mergeCell ref="Q7:AE8"/>
    <mergeCell ref="Q5:AE6"/>
    <mergeCell ref="Q3:AE4"/>
    <mergeCell ref="Q11:X12"/>
    <mergeCell ref="Y11:AE12"/>
    <mergeCell ref="AC9:AE10"/>
    <mergeCell ref="Y9:AB10"/>
    <mergeCell ref="BA5:BC6"/>
    <mergeCell ref="BA3:BC4"/>
    <mergeCell ref="AW18:BC18"/>
    <mergeCell ref="AW19:BC20"/>
    <mergeCell ref="K25:M26"/>
    <mergeCell ref="O25:Q26"/>
    <mergeCell ref="S25:U26"/>
    <mergeCell ref="C25:G26"/>
    <mergeCell ref="O28:Q29"/>
    <mergeCell ref="C28:G29"/>
    <mergeCell ref="C31:G32"/>
    <mergeCell ref="H31:J32"/>
    <mergeCell ref="H28:J29"/>
    <mergeCell ref="K28:M29"/>
    <mergeCell ref="AR30:AT31"/>
    <mergeCell ref="AR32:AT32"/>
    <mergeCell ref="AR29:AT29"/>
    <mergeCell ref="AW23:BC24"/>
    <mergeCell ref="AW27:BC28"/>
    <mergeCell ref="BL27:BN28"/>
    <mergeCell ref="BI27:BK28"/>
    <mergeCell ref="BF27:BH28"/>
    <mergeCell ref="BD27:BE28"/>
    <mergeCell ref="BR27:BU28"/>
    <mergeCell ref="BR29:BU30"/>
    <mergeCell ref="BR31:BU31"/>
    <mergeCell ref="BR23:BU24"/>
    <mergeCell ref="BR21:BU22"/>
    <mergeCell ref="BL31:BN31"/>
    <mergeCell ref="BI31:BK31"/>
    <mergeCell ref="BX34:BY34"/>
    <mergeCell ref="BR32:BU33"/>
    <mergeCell ref="BX37:BY38"/>
    <mergeCell ref="BR34:BU35"/>
    <mergeCell ref="BO32:BQ33"/>
    <mergeCell ref="BR38:BU39"/>
    <mergeCell ref="AW32:BC33"/>
    <mergeCell ref="BD32:BE33"/>
    <mergeCell ref="AW34:BC35"/>
    <mergeCell ref="AR33:AT34"/>
    <mergeCell ref="AR21:AT21"/>
    <mergeCell ref="AR22:AT23"/>
    <mergeCell ref="AW25:BC26"/>
    <mergeCell ref="BF25:BH26"/>
    <mergeCell ref="BD25:BE26"/>
    <mergeCell ref="BI21:BK22"/>
    <mergeCell ref="BF21:BH22"/>
    <mergeCell ref="BD23:BE24"/>
    <mergeCell ref="BI25:BK26"/>
    <mergeCell ref="BD38:BE39"/>
    <mergeCell ref="AW38:BC39"/>
    <mergeCell ref="AW40:BC41"/>
    <mergeCell ref="AW36:BC37"/>
    <mergeCell ref="BR40:BU41"/>
    <mergeCell ref="BF40:BH41"/>
    <mergeCell ref="BF38:BH39"/>
    <mergeCell ref="BR36:BU37"/>
    <mergeCell ref="BR44:BU44"/>
    <mergeCell ref="BR42:BU43"/>
    <mergeCell ref="BD40:BE41"/>
    <mergeCell ref="BF42:BH43"/>
    <mergeCell ref="BI42:BK43"/>
    <mergeCell ref="BF44:BH44"/>
    <mergeCell ref="BD42:BE43"/>
    <mergeCell ref="BL42:BN43"/>
    <mergeCell ref="BO44:BQ44"/>
    <mergeCell ref="AW29:BC30"/>
    <mergeCell ref="AW31:BC31"/>
    <mergeCell ref="BF29:BH30"/>
    <mergeCell ref="BD29:BE30"/>
    <mergeCell ref="BI29:BK30"/>
    <mergeCell ref="BL29:BN30"/>
    <mergeCell ref="BI32:BK33"/>
    <mergeCell ref="BI34:BK35"/>
    <mergeCell ref="BF34:BH35"/>
    <mergeCell ref="BF32:BH33"/>
    <mergeCell ref="BF31:BH31"/>
    <mergeCell ref="BF36:BH37"/>
    <mergeCell ref="BD36:BE37"/>
    <mergeCell ref="BI36:BK37"/>
    <mergeCell ref="BI38:BK39"/>
    <mergeCell ref="BD34:BE35"/>
    <mergeCell ref="AW42:BC43"/>
    <mergeCell ref="AW44:BC44"/>
    <mergeCell ref="BI44:BK44"/>
    <mergeCell ref="BL44:BN44"/>
    <mergeCell ref="BI40:BK41"/>
    <mergeCell ref="BL40:BN41"/>
    <mergeCell ref="BO42:BQ43"/>
    <mergeCell ref="BO40:BQ41"/>
    <mergeCell ref="BD21:BE22"/>
    <mergeCell ref="AW21:BC22"/>
    <mergeCell ref="BD19:BE20"/>
    <mergeCell ref="BI19:BK20"/>
    <mergeCell ref="BF19:BH20"/>
    <mergeCell ref="BI18:BK18"/>
    <mergeCell ref="BF18:BH18"/>
    <mergeCell ref="BL25:BN26"/>
    <mergeCell ref="BL23:BN24"/>
    <mergeCell ref="BR19:BU20"/>
    <mergeCell ref="BR18:BU18"/>
    <mergeCell ref="AW15:BU16"/>
    <mergeCell ref="BL18:BN18"/>
    <mergeCell ref="BO18:BQ18"/>
    <mergeCell ref="BL32:BN33"/>
    <mergeCell ref="BL34:BN35"/>
    <mergeCell ref="BL36:BN37"/>
    <mergeCell ref="BL38:BN39"/>
    <mergeCell ref="BO25:BQ26"/>
    <mergeCell ref="BR25:BU26"/>
    <mergeCell ref="BO21:BQ22"/>
    <mergeCell ref="BO23:BQ24"/>
    <mergeCell ref="BO34:BQ35"/>
    <mergeCell ref="BO38:BQ39"/>
    <mergeCell ref="BO36:BQ37"/>
    <mergeCell ref="BO27:BQ28"/>
    <mergeCell ref="BO29:BQ30"/>
    <mergeCell ref="BO31:BQ31"/>
    <mergeCell ref="BL21:BN22"/>
    <mergeCell ref="BF23:BH24"/>
    <mergeCell ref="BI23:BK24"/>
    <mergeCell ref="BO19:BQ20"/>
    <mergeCell ref="BL19:BN20"/>
    <mergeCell ref="CK31:CN32"/>
    <mergeCell ref="CH31:CJ32"/>
    <mergeCell ref="CD31:CF32"/>
    <mergeCell ref="BX29:CC30"/>
    <mergeCell ref="BX31:CC32"/>
    <mergeCell ref="BX22:CB23"/>
    <mergeCell ref="BX26:CN27"/>
    <mergeCell ref="CD29:CF30"/>
    <mergeCell ref="CC22:CE23"/>
    <mergeCell ref="CF20:CK21"/>
    <mergeCell ref="CC20:CE21"/>
    <mergeCell ref="CL20:CN21"/>
    <mergeCell ref="BX20:CB21"/>
    <mergeCell ref="CG18:CK19"/>
    <mergeCell ref="BX15:CN16"/>
    <mergeCell ref="CL18:CN19"/>
    <mergeCell ref="BZ39:CB40"/>
    <mergeCell ref="BZ41:CB42"/>
    <mergeCell ref="BZ35:CB36"/>
    <mergeCell ref="BX39:BY40"/>
    <mergeCell ref="BX35:BY36"/>
    <mergeCell ref="BX41:BY42"/>
    <mergeCell ref="BZ43:CB44"/>
    <mergeCell ref="CC43:CE44"/>
    <mergeCell ref="BX43:BY44"/>
    <mergeCell ref="CI37:CK38"/>
    <mergeCell ref="CF37:CH38"/>
    <mergeCell ref="CF39:CH40"/>
    <mergeCell ref="CF41:CH42"/>
    <mergeCell ref="CI41:CK42"/>
    <mergeCell ref="CI39:CK40"/>
    <mergeCell ref="CF43:CH44"/>
    <mergeCell ref="CI43:CK44"/>
    <mergeCell ref="CC35:CE36"/>
    <mergeCell ref="CF35:CH36"/>
    <mergeCell ref="CI35:CK36"/>
    <mergeCell ref="CF34:CH34"/>
    <mergeCell ref="CC37:CE38"/>
    <mergeCell ref="CC34:CE34"/>
    <mergeCell ref="BZ34:CB34"/>
    <mergeCell ref="BZ37:CB38"/>
    <mergeCell ref="BX28:CC28"/>
    <mergeCell ref="CD28:CF28"/>
    <mergeCell ref="CL39:CN40"/>
    <mergeCell ref="CL41:CN42"/>
    <mergeCell ref="CL43:CN44"/>
    <mergeCell ref="CI34:CK34"/>
    <mergeCell ref="CL34:CN34"/>
    <mergeCell ref="CL35:CN36"/>
    <mergeCell ref="CL37:CN38"/>
    <mergeCell ref="CH28:CN28"/>
    <mergeCell ref="CH29:CJ30"/>
    <mergeCell ref="CK29:CN30"/>
    <mergeCell ref="CC18:CE19"/>
    <mergeCell ref="BX18:CB19"/>
    <mergeCell ref="CC39:CE40"/>
    <mergeCell ref="CC41:CE42"/>
    <mergeCell ref="H131:J132"/>
    <mergeCell ref="C134:H135"/>
    <mergeCell ref="C131:G132"/>
    <mergeCell ref="C114:H115"/>
    <mergeCell ref="C111:G112"/>
    <mergeCell ref="H130:J130"/>
    <mergeCell ref="C150:S151"/>
    <mergeCell ref="C128:H129"/>
    <mergeCell ref="C156:Q157"/>
    <mergeCell ref="C148:P149"/>
    <mergeCell ref="C88:H89"/>
    <mergeCell ref="C91:G92"/>
    <mergeCell ref="C94:H95"/>
    <mergeCell ref="C101:G102"/>
    <mergeCell ref="C104:H105"/>
    <mergeCell ref="C98:H99"/>
    <mergeCell ref="C108:H109"/>
    <mergeCell ref="C141:J142"/>
    <mergeCell ref="C138:J139"/>
    <mergeCell ref="G152:I152"/>
    <mergeCell ref="G153:I154"/>
    <mergeCell ref="M152:O152"/>
    <mergeCell ref="C153:F154"/>
    <mergeCell ref="J152:L152"/>
    <mergeCell ref="M153:O154"/>
    <mergeCell ref="J153:L154"/>
    <mergeCell ref="N130:P130"/>
    <mergeCell ref="Q130:S130"/>
    <mergeCell ref="K130:M130"/>
    <mergeCell ref="Q131:S132"/>
    <mergeCell ref="C158:S159"/>
    <mergeCell ref="C160:S167"/>
    <mergeCell ref="AJ156:AK157"/>
    <mergeCell ref="AJ181:AK181"/>
    <mergeCell ref="R181:S181"/>
    <mergeCell ref="U182:AI183"/>
    <mergeCell ref="R182:S183"/>
    <mergeCell ref="U195:AI196"/>
    <mergeCell ref="AJ194:AK194"/>
    <mergeCell ref="R194:S194"/>
    <mergeCell ref="U186:AK193"/>
    <mergeCell ref="U197:AK198"/>
    <mergeCell ref="AJ195:AK196"/>
    <mergeCell ref="AB152:AD152"/>
    <mergeCell ref="U156:AI157"/>
    <mergeCell ref="AJ155:AK155"/>
    <mergeCell ref="AB153:AD154"/>
    <mergeCell ref="Y152:AA152"/>
    <mergeCell ref="R156:S157"/>
    <mergeCell ref="AJ182:AK183"/>
    <mergeCell ref="U184:AK185"/>
    <mergeCell ref="C173:S180"/>
    <mergeCell ref="C182:Q183"/>
    <mergeCell ref="Q148:S149"/>
    <mergeCell ref="Q147:S147"/>
    <mergeCell ref="C197:S198"/>
    <mergeCell ref="C195:Q196"/>
    <mergeCell ref="R195:S196"/>
    <mergeCell ref="C171:S172"/>
    <mergeCell ref="C169:Q170"/>
    <mergeCell ref="Q120:S120"/>
    <mergeCell ref="Q121:S122"/>
    <mergeCell ref="AI120:AK120"/>
    <mergeCell ref="Z120:AD120"/>
    <mergeCell ref="Z121:AD122"/>
    <mergeCell ref="U121:Y122"/>
    <mergeCell ref="AE121:AE122"/>
    <mergeCell ref="AF120:AH120"/>
    <mergeCell ref="Y153:AA154"/>
    <mergeCell ref="U153:X154"/>
    <mergeCell ref="P153:S154"/>
    <mergeCell ref="R155:S155"/>
    <mergeCell ref="AE152:AG152"/>
    <mergeCell ref="P152:S152"/>
    <mergeCell ref="K131:M132"/>
    <mergeCell ref="N131:P132"/>
    <mergeCell ref="AM153:AP154"/>
    <mergeCell ref="AQ153:AS154"/>
    <mergeCell ref="C186:S193"/>
    <mergeCell ref="C184:S185"/>
    <mergeCell ref="AT123:AU124"/>
    <mergeCell ref="AT125:AU126"/>
    <mergeCell ref="AT135:AU136"/>
    <mergeCell ref="AO131:AQ132"/>
    <mergeCell ref="AT117:AU118"/>
    <mergeCell ref="AT115:AU116"/>
    <mergeCell ref="AT121:AU122"/>
    <mergeCell ref="AT119:AU120"/>
    <mergeCell ref="AT129:AU130"/>
    <mergeCell ref="AT152:AV152"/>
    <mergeCell ref="AZ152:BC152"/>
    <mergeCell ref="BL152:BN152"/>
    <mergeCell ref="BI152:BK152"/>
    <mergeCell ref="BE150:BU151"/>
    <mergeCell ref="AM150:BC151"/>
    <mergeCell ref="AQ152:AS152"/>
    <mergeCell ref="AW153:AY154"/>
    <mergeCell ref="BA147:BC147"/>
    <mergeCell ref="U131:Y132"/>
    <mergeCell ref="AF131:AH132"/>
    <mergeCell ref="AE131:AE132"/>
    <mergeCell ref="AV131:BD132"/>
    <mergeCell ref="AO130:AQ130"/>
    <mergeCell ref="AL130:AN130"/>
    <mergeCell ref="AV129:BD130"/>
    <mergeCell ref="AV123:BD124"/>
    <mergeCell ref="AV127:BD128"/>
    <mergeCell ref="AV125:BD126"/>
    <mergeCell ref="AL128:AQ129"/>
    <mergeCell ref="AL131:AN132"/>
    <mergeCell ref="K138:AQ139"/>
    <mergeCell ref="I134:AQ135"/>
    <mergeCell ref="AV141:BD142"/>
    <mergeCell ref="AT141:AU142"/>
    <mergeCell ref="AV137:BD138"/>
    <mergeCell ref="AV135:BD136"/>
    <mergeCell ref="AG128:AK129"/>
    <mergeCell ref="AI131:AK132"/>
    <mergeCell ref="AI121:AK122"/>
    <mergeCell ref="AF121:AH122"/>
    <mergeCell ref="AT137:AU138"/>
    <mergeCell ref="U148:AH149"/>
    <mergeCell ref="U150:AK151"/>
    <mergeCell ref="AT127:AU128"/>
    <mergeCell ref="I128:AE129"/>
    <mergeCell ref="BA148:BC149"/>
    <mergeCell ref="AM148:AZ149"/>
    <mergeCell ref="C145:BU146"/>
    <mergeCell ref="BS147:BU147"/>
  </mergeCells>
  <conditionalFormatting sqref="BR19:BU52">
    <cfRule type="cellIs" dxfId="0" priority="1" operator="equal">
      <formula>"Yes"</formula>
    </cfRule>
  </conditionalFormatting>
  <conditionalFormatting sqref="BR19:BU52">
    <cfRule type="cellIs" dxfId="1" priority="2" operator="equal">
      <formula>"No"</formula>
    </cfRule>
  </conditionalFormatting>
  <conditionalFormatting sqref="K42:N43">
    <cfRule type="expression" dxfId="1" priority="3">
      <formula>OR(P42=K42,U42=K42,Z42=K42)</formula>
    </cfRule>
  </conditionalFormatting>
  <conditionalFormatting sqref="P42:S43">
    <cfRule type="expression" dxfId="1" priority="4">
      <formula>OR(K42=P42,U42=P42,Z42=P42)</formula>
    </cfRule>
  </conditionalFormatting>
  <conditionalFormatting sqref="U42:X43">
    <cfRule type="expression" dxfId="1" priority="5">
      <formula>OR(P42=U42,K42=U42,Z42=U42)</formula>
    </cfRule>
  </conditionalFormatting>
  <conditionalFormatting sqref="Z42:AC43">
    <cfRule type="expression" dxfId="1" priority="6">
      <formula>OR(P42=Z42,U42=Z42,K42=Z42)</formula>
    </cfRule>
  </conditionalFormatting>
  <conditionalFormatting sqref="K38:N39">
    <cfRule type="expression" dxfId="1" priority="7">
      <formula>K38=Z38</formula>
    </cfRule>
  </conditionalFormatting>
  <conditionalFormatting sqref="AJ9:AX10">
    <cfRule type="expression" dxfId="2" priority="8">
      <formula>AF11="No"</formula>
    </cfRule>
  </conditionalFormatting>
  <conditionalFormatting sqref="BA62:BU63">
    <cfRule type="expression" dxfId="2" priority="9">
      <formula>$AC$9&lt;3</formula>
    </cfRule>
  </conditionalFormatting>
  <conditionalFormatting sqref="BA64:BU65">
    <cfRule type="expression" dxfId="2" priority="10">
      <formula>$AC$9&lt;6</formula>
    </cfRule>
  </conditionalFormatting>
  <conditionalFormatting sqref="BA66:BU67">
    <cfRule type="expression" dxfId="2" priority="11">
      <formula>$AC$9&lt;9</formula>
    </cfRule>
  </conditionalFormatting>
  <conditionalFormatting sqref="BA68:BU69">
    <cfRule type="expression" dxfId="2" priority="12">
      <formula>$AC$9&lt;12</formula>
    </cfRule>
  </conditionalFormatting>
  <conditionalFormatting sqref="BA70:BU71">
    <cfRule type="expression" dxfId="2" priority="13">
      <formula>$AC$9&lt;15</formula>
    </cfRule>
  </conditionalFormatting>
  <conditionalFormatting sqref="BA72:BU73">
    <cfRule type="expression" dxfId="2" priority="14">
      <formula>$AC$9&lt;18</formula>
    </cfRule>
  </conditionalFormatting>
  <conditionalFormatting sqref="BE109:BU132">
    <cfRule type="expression" dxfId="2" priority="15">
      <formula>$AC$9&lt;AT109</formula>
    </cfRule>
  </conditionalFormatting>
  <conditionalFormatting sqref="BE148:BU151 BE155:BS245 BT155 BU155:BU245 BT157:BT168 BT170:BT181 BT183:BT194 BT196:BT207 BT209:BT220 BT222:BT233 BT235:BT245">
    <cfRule type="expression" dxfId="3" priority="16">
      <formula>$AF$11="No"</formula>
    </cfRule>
  </conditionalFormatting>
  <conditionalFormatting sqref="BE133:BU134">
    <cfRule type="expression" dxfId="2" priority="17">
      <formula>not(COUNTIF(BA58:BA76,"Open Lesser Binding"))</formula>
    </cfRule>
  </conditionalFormatting>
  <conditionalFormatting sqref="BE135:BU136">
    <cfRule type="expression" dxfId="2" priority="18">
      <formula>not(COUNTIF(BA58:BA76,"Open Greater Binding"))</formula>
    </cfRule>
  </conditionalFormatting>
  <conditionalFormatting sqref="BE152:BU154">
    <cfRule type="expression" dxfId="3" priority="19">
      <formula>$AF$11="No"</formula>
    </cfRule>
  </conditionalFormatting>
  <conditionalFormatting sqref="CD29:CJ32">
    <cfRule type="cellIs" dxfId="2" priority="20" operator="equal">
      <formula>0</formula>
    </cfRule>
  </conditionalFormatting>
  <conditionalFormatting sqref="BZ35:CN48">
    <cfRule type="cellIs" dxfId="2" priority="21" operator="equal">
      <formula>0</formula>
    </cfRule>
  </conditionalFormatting>
  <conditionalFormatting sqref="BL19:BN52">
    <cfRule type="cellIs" dxfId="2" priority="22" operator="equal">
      <formula>0</formula>
    </cfRule>
  </conditionalFormatting>
  <conditionalFormatting sqref="W19:Y35">
    <cfRule type="cellIs" dxfId="2" priority="23" operator="equal">
      <formula>0</formula>
    </cfRule>
  </conditionalFormatting>
  <conditionalFormatting sqref="AY7:AZ10">
    <cfRule type="cellIs" dxfId="2" priority="24" operator="equal">
      <formula>0</formula>
    </cfRule>
  </conditionalFormatting>
  <conditionalFormatting sqref="CJ54:CN55">
    <cfRule type="cellIs" dxfId="2" priority="25" operator="equal">
      <formula>"N/A"</formula>
    </cfRule>
  </conditionalFormatting>
  <conditionalFormatting sqref="CL58:CN59">
    <cfRule type="cellIs" dxfId="2" priority="26" operator="equal">
      <formula>0</formula>
    </cfRule>
  </conditionalFormatting>
  <conditionalFormatting sqref="CG60:CN61">
    <cfRule type="cellIs" dxfId="2" priority="27" operator="equal">
      <formula>"N/A"</formula>
    </cfRule>
  </conditionalFormatting>
  <conditionalFormatting sqref="BX60:CE61">
    <cfRule type="cellIs" dxfId="2" priority="28" operator="equal">
      <formula>"N/A"</formula>
    </cfRule>
  </conditionalFormatting>
  <conditionalFormatting sqref="CL56:CN57">
    <cfRule type="cellIs" dxfId="2" priority="29" operator="equal">
      <formula>1</formula>
    </cfRule>
  </conditionalFormatting>
  <conditionalFormatting sqref="BA148:BC149">
    <cfRule type="cellIs" dxfId="2" priority="30" operator="equal">
      <formula>0</formula>
    </cfRule>
  </conditionalFormatting>
  <conditionalFormatting sqref="K84:M85">
    <cfRule type="expression" dxfId="4" priority="31">
      <formula>$H$47&gt;=6</formula>
    </cfRule>
  </conditionalFormatting>
  <conditionalFormatting sqref="K44:N45">
    <cfRule type="cellIs" dxfId="2" priority="32" operator="equal">
      <formula>0</formula>
    </cfRule>
  </conditionalFormatting>
  <conditionalFormatting sqref="P44:S45">
    <cfRule type="cellIs" dxfId="2" priority="33" operator="equal">
      <formula>0</formula>
    </cfRule>
  </conditionalFormatting>
  <conditionalFormatting sqref="U44:X45">
    <cfRule type="cellIs" dxfId="2" priority="34" operator="equal">
      <formula>0</formula>
    </cfRule>
  </conditionalFormatting>
  <conditionalFormatting sqref="Z44:AC45">
    <cfRule type="cellIs" dxfId="2" priority="35" operator="equal">
      <formula>0</formula>
    </cfRule>
  </conditionalFormatting>
  <dataValidations>
    <dataValidation type="decimal" allowBlank="1" showDropDown="1" showErrorMessage="1" sqref="AC9">
      <formula1>1.0</formula1>
      <formula2>20.0</formula2>
    </dataValidation>
    <dataValidation type="list" allowBlank="1" showErrorMessage="1" sqref="AF11 AS11">
      <formula1>"Yes,No"</formula1>
    </dataValidation>
    <dataValidation type="list" allowBlank="1" showErrorMessage="1" sqref="P153 AH153 AZ153 BR153">
      <formula1>"N/A,KOM,KDM,STR,DEX,CON,INT,WIS,CHA"</formula1>
    </dataValidation>
    <dataValidation type="list" allowBlank="1" showErrorMessage="1" sqref="BR19 BR21 BR23 BR25 BR27 BR29 BR32 BR34 BR36 BR38 BR40 BR42 BR45 BR47 BR49 BR51">
      <formula1>"No,Yes"</formula1>
    </dataValidation>
    <dataValidation type="list" allowBlank="1" showErrorMessage="1" sqref="BX29 BX31">
      <formula1>"Fast,Medium,Slow,N/A"</formula1>
    </dataValidation>
    <dataValidation type="list" allowBlank="1" showErrorMessage="1" sqref="Q11">
      <formula1>"Small,Average,Large,Huge"</formula1>
    </dataValidation>
    <dataValidation type="list" allowBlank="1" showErrorMessage="1" sqref="K70">
      <formula1>"Fort+Ref,Fort+Will,Ref+Will"</formula1>
    </dataValidation>
    <dataValidation type="list" allowBlank="1" showErrorMessage="1" sqref="K47">
      <formula1>"Good,Poor"</formula1>
    </dataValidation>
    <dataValidation type="list" allowBlank="1" showErrorMessage="1" sqref="CK29 CK31">
      <formula1>"N/A,STR,DEX,CON,INT,WIS,CHA"</formula1>
    </dataValidation>
    <dataValidation type="list" allowBlank="1" showErrorMessage="1" sqref="K38 Z38 K42 P42 U42 Z42">
      <formula1>"STR,DEX,CON,INT,WIS,CHA"</formula1>
    </dataValidation>
  </dataValidations>
  <drawing r:id="rId1"/>
</worksheet>
</file>