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8395" windowHeight="12780" activeTab="3"/>
  </bookViews>
  <sheets>
    <sheet name="Principal" sheetId="1" r:id="rId1"/>
    <sheet name="Feats, items, circles" sheetId="2" r:id="rId2"/>
    <sheet name="Special abilites and Attacks" sheetId="3" r:id="rId3"/>
    <sheet name="Guide" sheetId="4" r:id="rId4"/>
  </sheets>
  <calcPr calcId="125725"/>
</workbook>
</file>

<file path=xl/calcChain.xml><?xml version="1.0" encoding="utf-8"?>
<calcChain xmlns="http://schemas.openxmlformats.org/spreadsheetml/2006/main">
  <c r="M20" i="1"/>
  <c r="N12" i="3"/>
  <c r="D38" i="1"/>
  <c r="D39"/>
  <c r="D40"/>
  <c r="D41"/>
  <c r="D42"/>
  <c r="D37"/>
  <c r="M15"/>
  <c r="M16"/>
  <c r="D12" s="1"/>
  <c r="M17"/>
  <c r="M18"/>
  <c r="M19"/>
  <c r="M21"/>
  <c r="M22"/>
  <c r="M23"/>
  <c r="M24"/>
  <c r="M25"/>
  <c r="M26"/>
  <c r="M27"/>
  <c r="M28"/>
  <c r="M29"/>
  <c r="M30"/>
  <c r="I11"/>
  <c r="C5" i="3" s="1"/>
  <c r="H1" s="1"/>
  <c r="O1" i="1"/>
  <c r="I34" s="1"/>
  <c r="I12"/>
  <c r="C24" s="1"/>
  <c r="I13"/>
  <c r="C25" s="1"/>
  <c r="I14"/>
  <c r="C26" s="1"/>
  <c r="E4"/>
  <c r="E3"/>
  <c r="F3" s="1"/>
  <c r="G3" s="1"/>
  <c r="H8" i="3" s="1"/>
  <c r="T27" i="1"/>
  <c r="E7" s="1"/>
  <c r="F7" s="1"/>
  <c r="G7" s="1"/>
  <c r="N30" s="1"/>
  <c r="T25"/>
  <c r="E5" s="1"/>
  <c r="F5" s="1"/>
  <c r="G5" s="1"/>
  <c r="N20" s="1"/>
  <c r="T26"/>
  <c r="E6" s="1"/>
  <c r="F6" s="1"/>
  <c r="G6" s="1"/>
  <c r="T24"/>
  <c r="E8" s="1"/>
  <c r="F8" s="1"/>
  <c r="G8" s="1"/>
  <c r="Q6" i="3"/>
  <c r="Q7"/>
  <c r="Q8"/>
  <c r="Q9"/>
  <c r="Q5"/>
  <c r="M12"/>
  <c r="K34" i="1"/>
  <c r="D34"/>
  <c r="D32"/>
  <c r="D33"/>
  <c r="D31"/>
  <c r="D30"/>
  <c r="I31"/>
  <c r="I30"/>
  <c r="I29"/>
  <c r="I28"/>
  <c r="N7"/>
  <c r="N8"/>
  <c r="N6"/>
  <c r="N5"/>
  <c r="G21"/>
  <c r="C12"/>
  <c r="F4"/>
  <c r="G4" s="1"/>
  <c r="H24" s="1"/>
  <c r="F38" l="1"/>
  <c r="H9" i="3"/>
  <c r="H7"/>
  <c r="H6"/>
  <c r="H5"/>
  <c r="E32" i="1"/>
  <c r="E34"/>
  <c r="E33"/>
  <c r="C21"/>
  <c r="I27"/>
  <c r="G12" i="3" s="1"/>
  <c r="B12" i="1"/>
  <c r="C9" i="3"/>
  <c r="C8"/>
  <c r="C7"/>
  <c r="C6"/>
  <c r="I3" i="1"/>
  <c r="H35" i="2" s="1"/>
  <c r="P30" i="1"/>
  <c r="P20"/>
  <c r="D26"/>
  <c r="B32"/>
  <c r="E30"/>
  <c r="E31"/>
  <c r="B31" s="1"/>
  <c r="B34"/>
  <c r="I5"/>
  <c r="B26"/>
  <c r="D25"/>
  <c r="B25" s="1"/>
  <c r="B30"/>
  <c r="B33"/>
  <c r="N16"/>
  <c r="P16" s="1"/>
  <c r="D24"/>
  <c r="B24" s="1"/>
  <c r="J34"/>
  <c r="H34" s="1"/>
  <c r="N29"/>
  <c r="P29" s="1"/>
  <c r="N28"/>
  <c r="P28" s="1"/>
  <c r="N27"/>
  <c r="P27" s="1"/>
  <c r="N23"/>
  <c r="P23" s="1"/>
  <c r="N25"/>
  <c r="P25" s="1"/>
  <c r="N21"/>
  <c r="P21" s="1"/>
  <c r="N22"/>
  <c r="P22" s="1"/>
  <c r="N24"/>
  <c r="P24" s="1"/>
  <c r="N26"/>
  <c r="P26" s="1"/>
  <c r="N19"/>
  <c r="P19" s="1"/>
  <c r="N17"/>
  <c r="P17" s="1"/>
  <c r="N15"/>
  <c r="P15" s="1"/>
  <c r="N18"/>
  <c r="P18" s="1"/>
  <c r="H65" i="2" l="1"/>
  <c r="G5" i="3"/>
  <c r="N5" s="1"/>
  <c r="A12" i="1"/>
  <c r="F6" i="3"/>
  <c r="F8"/>
  <c r="F5"/>
  <c r="K5" s="1"/>
  <c r="L5" s="1"/>
  <c r="F7"/>
  <c r="F9"/>
  <c r="G6"/>
  <c r="N6" s="1"/>
  <c r="G7"/>
  <c r="N7" s="1"/>
  <c r="H55" i="2"/>
  <c r="G8" i="3"/>
  <c r="N8" s="1"/>
  <c r="H45" i="2"/>
  <c r="G9" i="3"/>
  <c r="K9" s="1"/>
  <c r="L9" s="1"/>
  <c r="F21" i="1"/>
  <c r="A21" s="1"/>
  <c r="G17"/>
  <c r="K8" i="3" l="1"/>
  <c r="L8" s="1"/>
  <c r="K7"/>
  <c r="L7" s="1"/>
  <c r="K6"/>
  <c r="L6" s="1"/>
</calcChain>
</file>

<file path=xl/comments1.xml><?xml version="1.0" encoding="utf-8"?>
<comments xmlns="http://schemas.openxmlformats.org/spreadsheetml/2006/main">
  <authors>
    <author>Sobrassada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 xml:space="preserve">Grado, Nivel al que se obtiene normal/Nivel al que se obtiene con Full buy-in
X = No se obtiene
</t>
        </r>
      </text>
    </comment>
  </commentList>
</comments>
</file>

<file path=xl/comments2.xml><?xml version="1.0" encoding="utf-8"?>
<comments xmlns="http://schemas.openxmlformats.org/spreadsheetml/2006/main">
  <authors>
    <author>Sobrassada</author>
  </authors>
  <commentList>
    <comment ref="D4" authorId="0">
      <text>
        <r>
          <rPr>
            <b/>
            <sz val="8"/>
            <color indexed="81"/>
            <rFont val="Tahoma"/>
            <family val="2"/>
          </rPr>
          <t xml:space="preserve">Number of brutal: 0,1,2 or 3
Put 0 if its arcane (and not the Grim heritor, of course)
</t>
        </r>
      </text>
    </comment>
    <comment ref="P4" authorId="0">
      <text>
        <r>
          <rPr>
            <b/>
            <sz val="8"/>
            <color indexed="81"/>
            <rFont val="Tahoma"/>
            <family val="2"/>
          </rPr>
          <t xml:space="preserve">Brutal numer if Arcane
</t>
        </r>
      </text>
    </comment>
  </commentList>
</comments>
</file>

<file path=xl/sharedStrings.xml><?xml version="1.0" encoding="utf-8"?>
<sst xmlns="http://schemas.openxmlformats.org/spreadsheetml/2006/main" count="344" uniqueCount="212">
  <si>
    <t>Base</t>
  </si>
  <si>
    <t>Nivel</t>
  </si>
  <si>
    <t>Total</t>
  </si>
  <si>
    <t xml:space="preserve">KOM </t>
  </si>
  <si>
    <t>KDM</t>
  </si>
  <si>
    <t>Velocidad</t>
  </si>
  <si>
    <t>Vigor</t>
  </si>
  <si>
    <t>HP Base</t>
  </si>
  <si>
    <t>HP</t>
  </si>
  <si>
    <t>Red HP</t>
  </si>
  <si>
    <t>Temp HP</t>
  </si>
  <si>
    <t>Max HP</t>
  </si>
  <si>
    <t>HP extra</t>
  </si>
  <si>
    <t>Caracteristica</t>
  </si>
  <si>
    <t>Misc</t>
  </si>
  <si>
    <t>Extras</t>
  </si>
  <si>
    <t>Alcances</t>
  </si>
  <si>
    <t>Extra</t>
  </si>
  <si>
    <t>KOM</t>
  </si>
  <si>
    <t>1d6+</t>
  </si>
  <si>
    <t>Natural</t>
  </si>
  <si>
    <t>Magnum</t>
  </si>
  <si>
    <t>d4</t>
  </si>
  <si>
    <t>Característica</t>
  </si>
  <si>
    <t>Nv2</t>
  </si>
  <si>
    <t>Bono</t>
  </si>
  <si>
    <t>Nv5</t>
  </si>
  <si>
    <t>Nv7</t>
  </si>
  <si>
    <t>Nv10</t>
  </si>
  <si>
    <t>No</t>
  </si>
  <si>
    <t>Contantes, no tocar</t>
  </si>
  <si>
    <t>Regular</t>
  </si>
  <si>
    <t>Normal</t>
  </si>
  <si>
    <t>Charisma</t>
  </si>
  <si>
    <t>Wisdom</t>
  </si>
  <si>
    <t>Intelligence</t>
  </si>
  <si>
    <t>Constitution</t>
  </si>
  <si>
    <t>Dextery</t>
  </si>
  <si>
    <t>Strenght</t>
  </si>
  <si>
    <t>Good</t>
  </si>
  <si>
    <t>Bad</t>
  </si>
  <si>
    <t>Sizes</t>
  </si>
  <si>
    <t>Tiny</t>
  </si>
  <si>
    <t>Small</t>
  </si>
  <si>
    <t>Medium</t>
  </si>
  <si>
    <t>Large</t>
  </si>
  <si>
    <t>Huge</t>
  </si>
  <si>
    <t>Skills</t>
  </si>
  <si>
    <t>Trained</t>
  </si>
  <si>
    <t>Untrained</t>
  </si>
  <si>
    <t>Resistance</t>
  </si>
  <si>
    <t>Greater</t>
  </si>
  <si>
    <t>Lesser</t>
  </si>
  <si>
    <t xml:space="preserve">No </t>
  </si>
  <si>
    <t>Fast</t>
  </si>
  <si>
    <t>Slow</t>
  </si>
  <si>
    <t>FBI</t>
  </si>
  <si>
    <t>Higher Circle</t>
  </si>
  <si>
    <t>Size</t>
  </si>
  <si>
    <t>Race</t>
  </si>
  <si>
    <t>Level</t>
  </si>
  <si>
    <t>Class</t>
  </si>
  <si>
    <t>Skill</t>
  </si>
  <si>
    <t>Ranks</t>
  </si>
  <si>
    <t>Ability Mod</t>
  </si>
  <si>
    <t>Other</t>
  </si>
  <si>
    <t>Acrobatics</t>
  </si>
  <si>
    <t>Athletism</t>
  </si>
  <si>
    <t>Larceny</t>
  </si>
  <si>
    <t>Stealth</t>
  </si>
  <si>
    <t>Ride</t>
  </si>
  <si>
    <t>Arcane</t>
  </si>
  <si>
    <t>Engineering</t>
  </si>
  <si>
    <t>Geography</t>
  </si>
  <si>
    <t>History</t>
  </si>
  <si>
    <t>Medicine</t>
  </si>
  <si>
    <t>Nature</t>
  </si>
  <si>
    <t>Bluff</t>
  </si>
  <si>
    <t>Diplomacy</t>
  </si>
  <si>
    <t>Intimidate</t>
  </si>
  <si>
    <t>Perception</t>
  </si>
  <si>
    <t>Melee</t>
  </si>
  <si>
    <t>Close</t>
  </si>
  <si>
    <t>Long</t>
  </si>
  <si>
    <t>Extreme</t>
  </si>
  <si>
    <t>DR</t>
  </si>
  <si>
    <t>Item</t>
  </si>
  <si>
    <t>Abilities</t>
  </si>
  <si>
    <t>Mod</t>
  </si>
  <si>
    <t>Sheet</t>
  </si>
  <si>
    <t>CD Maneuvers</t>
  </si>
  <si>
    <t>Vision</t>
  </si>
  <si>
    <t>Yes/No</t>
  </si>
  <si>
    <t>Range</t>
  </si>
  <si>
    <t>Darkvision</t>
  </si>
  <si>
    <t>Blindsight</t>
  </si>
  <si>
    <t>Ghostsight</t>
  </si>
  <si>
    <t>Tremorsense</t>
  </si>
  <si>
    <t>NA</t>
  </si>
  <si>
    <t>Racial Traits</t>
  </si>
  <si>
    <t>Feat</t>
  </si>
  <si>
    <t>Name</t>
  </si>
  <si>
    <t>Magic Items</t>
  </si>
  <si>
    <t>Greater, 5/11</t>
  </si>
  <si>
    <t>Greater, 8X</t>
  </si>
  <si>
    <t>Greater, 13/X</t>
  </si>
  <si>
    <t>Greater, 16/X</t>
  </si>
  <si>
    <t>Relic, 10/17</t>
  </si>
  <si>
    <t>Relic, 14/X</t>
  </si>
  <si>
    <t>Artifact, 17/X</t>
  </si>
  <si>
    <t>Description</t>
  </si>
  <si>
    <t>DC</t>
  </si>
  <si>
    <t>Other items</t>
  </si>
  <si>
    <t>Consumables</t>
  </si>
  <si>
    <t>1st Circle</t>
  </si>
  <si>
    <t>2nd Circle</t>
  </si>
  <si>
    <t>3rd Circle</t>
  </si>
  <si>
    <t>4th Circle</t>
  </si>
  <si>
    <t>5th Circle</t>
  </si>
  <si>
    <t>6th Circle</t>
  </si>
  <si>
    <t>7th Circle</t>
  </si>
  <si>
    <t>Weapons</t>
  </si>
  <si>
    <t>Iterative atacs</t>
  </si>
  <si>
    <t>Unarmed Strike</t>
  </si>
  <si>
    <t>Reach</t>
  </si>
  <si>
    <t>Information</t>
  </si>
  <si>
    <t>No properties, melee</t>
  </si>
  <si>
    <t>BAB</t>
  </si>
  <si>
    <t>Fortitude</t>
  </si>
  <si>
    <t>Reflex</t>
  </si>
  <si>
    <t>Will</t>
  </si>
  <si>
    <t>Brutal</t>
  </si>
  <si>
    <t>Str</t>
  </si>
  <si>
    <t>Damage</t>
  </si>
  <si>
    <t>Extra attack</t>
  </si>
  <si>
    <t>Bonus Dmg</t>
  </si>
  <si>
    <t>Normal attack</t>
  </si>
  <si>
    <t>Iterative</t>
  </si>
  <si>
    <t>Brutal Arcane</t>
  </si>
  <si>
    <t>Bonus on magic</t>
  </si>
  <si>
    <t>Don't touch</t>
  </si>
  <si>
    <t>Point Blank</t>
  </si>
  <si>
    <t>Deflect</t>
  </si>
  <si>
    <t>Athletics</t>
  </si>
  <si>
    <t>Movement</t>
  </si>
  <si>
    <t>Fly</t>
  </si>
  <si>
    <t>Swim</t>
  </si>
  <si>
    <t>Fly High</t>
  </si>
  <si>
    <t>Burrow</t>
  </si>
  <si>
    <t>Ability</t>
  </si>
  <si>
    <t>Conditional</t>
  </si>
  <si>
    <t>Defenses</t>
  </si>
  <si>
    <t>Fast Healing</t>
  </si>
  <si>
    <t>Initiative</t>
  </si>
  <si>
    <t>Awareness</t>
  </si>
  <si>
    <t>Vs Diplomacy</t>
  </si>
  <si>
    <t>Vs Bluff</t>
  </si>
  <si>
    <t>Vs Perception</t>
  </si>
  <si>
    <t>Vs Intimidate</t>
  </si>
  <si>
    <t>Number</t>
  </si>
  <si>
    <t>Grade</t>
  </si>
  <si>
    <t>Immunity</t>
  </si>
  <si>
    <t>Full attack</t>
  </si>
  <si>
    <t>Run</t>
  </si>
  <si>
    <t>Charge</t>
  </si>
  <si>
    <t>Bullrush</t>
  </si>
  <si>
    <t>Disarm</t>
  </si>
  <si>
    <t>Grapple</t>
  </si>
  <si>
    <t>Fight Defensive</t>
  </si>
  <si>
    <t>Maneuver</t>
  </si>
  <si>
    <t>Trip</t>
  </si>
  <si>
    <t>Pin</t>
  </si>
  <si>
    <t>Standard Action</t>
  </si>
  <si>
    <t>Move Action</t>
  </si>
  <si>
    <t>Partial</t>
  </si>
  <si>
    <t>Swift Action</t>
  </si>
  <si>
    <t>Consumable</t>
  </si>
  <si>
    <t>Provoques AdO</t>
  </si>
  <si>
    <t>Identify creature</t>
  </si>
  <si>
    <t>Knowledge skill</t>
  </si>
  <si>
    <t>Change Weaponry</t>
  </si>
  <si>
    <t>Type</t>
  </si>
  <si>
    <t>Free</t>
  </si>
  <si>
    <t>5' Step</t>
  </si>
  <si>
    <t>Not moved only</t>
  </si>
  <si>
    <t>Power Attack/Deadly Aim</t>
  </si>
  <si>
    <t>Precise Attack</t>
  </si>
  <si>
    <t>No power attack nor deadly aim</t>
  </si>
  <si>
    <t>Change 3 damage for 1 attack and 2 RD Penetration, limit your level</t>
  </si>
  <si>
    <t>Change 1 attack for 2 damage, limit your level, cannot be used with precise strike</t>
  </si>
  <si>
    <t>Combined with main action</t>
  </si>
  <si>
    <t>Damage pinned opponent</t>
  </si>
  <si>
    <t>Move grappled with you</t>
  </si>
  <si>
    <t>Move</t>
  </si>
  <si>
    <t>Drag</t>
  </si>
  <si>
    <t>Ghoke</t>
  </si>
  <si>
    <t>provoques ado, move your base speed, half with partial</t>
  </si>
  <si>
    <t>Full attack :D</t>
  </si>
  <si>
    <t>No AdO, move base speed</t>
  </si>
  <si>
    <t>AC</t>
  </si>
  <si>
    <t>Saves</t>
  </si>
  <si>
    <t>Lesser, 7/X</t>
  </si>
  <si>
    <t>Lesser, 11/X</t>
  </si>
  <si>
    <t>Lesser, 19/X</t>
  </si>
  <si>
    <t>Lesser, 4/X</t>
  </si>
  <si>
    <t>Lesser, 1/6</t>
  </si>
  <si>
    <t>Move base speed and attack, minium 10', +2 attack, -2 AC</t>
  </si>
  <si>
    <t>Push 5' + Half speed</t>
  </si>
  <si>
    <t>Atack and disarm, reflex save</t>
  </si>
  <si>
    <t>Attack and grapple, reflex save</t>
  </si>
  <si>
    <t>Attack and inmovilize your oponent, fortitude save</t>
  </si>
  <si>
    <t>Attack and trip your oponent, reflex save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</si>
</sst>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7" xfId="0" applyBorder="1"/>
    <xf numFmtId="0" fontId="0" fillId="2" borderId="8" xfId="0" applyFill="1" applyBorder="1"/>
    <xf numFmtId="0" fontId="0" fillId="3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Fill="1" applyBorder="1"/>
    <xf numFmtId="0" fontId="0" fillId="4" borderId="20" xfId="0" applyFill="1" applyBorder="1"/>
    <xf numFmtId="0" fontId="0" fillId="0" borderId="21" xfId="0" applyFill="1" applyBorder="1"/>
    <xf numFmtId="0" fontId="0" fillId="0" borderId="8" xfId="0" applyFill="1" applyBorder="1"/>
    <xf numFmtId="0" fontId="0" fillId="4" borderId="21" xfId="0" applyFill="1" applyBorder="1"/>
    <xf numFmtId="0" fontId="0" fillId="4" borderId="19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4" xfId="0" applyFill="1" applyBorder="1"/>
    <xf numFmtId="0" fontId="0" fillId="4" borderId="16" xfId="0" applyFill="1" applyBorder="1"/>
    <xf numFmtId="0" fontId="1" fillId="0" borderId="8" xfId="0" applyFont="1" applyBorder="1"/>
    <xf numFmtId="0" fontId="0" fillId="0" borderId="23" xfId="0" applyBorder="1"/>
    <xf numFmtId="0" fontId="3" fillId="0" borderId="21" xfId="0" applyFont="1" applyBorder="1"/>
    <xf numFmtId="0" fontId="3" fillId="0" borderId="19" xfId="0" applyFont="1" applyBorder="1"/>
    <xf numFmtId="0" fontId="3" fillId="0" borderId="20" xfId="0" applyFont="1" applyBorder="1"/>
    <xf numFmtId="0" fontId="0" fillId="4" borderId="11" xfId="0" applyFill="1" applyBorder="1"/>
    <xf numFmtId="0" fontId="0" fillId="4" borderId="18" xfId="0" applyFill="1" applyBorder="1"/>
    <xf numFmtId="0" fontId="4" fillId="2" borderId="0" xfId="0" applyFont="1" applyFill="1"/>
    <xf numFmtId="0" fontId="0" fillId="5" borderId="8" xfId="0" applyFill="1" applyBorder="1"/>
    <xf numFmtId="0" fontId="0" fillId="5" borderId="21" xfId="0" applyFill="1" applyBorder="1"/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1"/>
  <sheetViews>
    <sheetView workbookViewId="0">
      <selection activeCell="B22" sqref="B22:F22"/>
    </sheetView>
  </sheetViews>
  <sheetFormatPr baseColWidth="10" defaultRowHeight="15"/>
  <cols>
    <col min="1" max="1" width="18" customWidth="1"/>
    <col min="2" max="2" width="11.85546875" bestFit="1" customWidth="1"/>
    <col min="4" max="4" width="12.85546875" customWidth="1"/>
    <col min="7" max="7" width="13.7109375" customWidth="1"/>
    <col min="8" max="8" width="14.7109375" customWidth="1"/>
    <col min="10" max="10" width="14.42578125" customWidth="1"/>
    <col min="11" max="11" width="12.5703125" customWidth="1"/>
    <col min="12" max="12" width="13" customWidth="1"/>
    <col min="18" max="18" width="12.5703125" customWidth="1"/>
  </cols>
  <sheetData>
    <row r="1" spans="1:25">
      <c r="A1" t="s">
        <v>89</v>
      </c>
      <c r="K1" s="1" t="s">
        <v>60</v>
      </c>
      <c r="L1">
        <v>1</v>
      </c>
      <c r="N1" t="s">
        <v>58</v>
      </c>
      <c r="O1" s="42">
        <f ca="1">OFFSET(A$59,MATCH(N2,A60:A64,0),1)</f>
        <v>2</v>
      </c>
    </row>
    <row r="2" spans="1:25" ht="15.75" thickBot="1">
      <c r="A2" s="5" t="s">
        <v>87</v>
      </c>
      <c r="B2" s="36" t="s">
        <v>0</v>
      </c>
      <c r="C2" s="36" t="s">
        <v>59</v>
      </c>
      <c r="D2" s="36" t="s">
        <v>86</v>
      </c>
      <c r="E2" s="36" t="s">
        <v>60</v>
      </c>
      <c r="F2" s="6" t="s">
        <v>2</v>
      </c>
      <c r="G2" s="5" t="s">
        <v>88</v>
      </c>
      <c r="I2" t="s">
        <v>3</v>
      </c>
      <c r="J2" t="s">
        <v>13</v>
      </c>
      <c r="K2" s="1" t="s">
        <v>59</v>
      </c>
      <c r="L2" s="57"/>
      <c r="M2" s="57"/>
      <c r="N2" t="s">
        <v>44</v>
      </c>
    </row>
    <row r="3" spans="1:25" ht="15.75" thickBot="1">
      <c r="A3" s="1" t="s">
        <v>38</v>
      </c>
      <c r="B3" s="9">
        <v>10</v>
      </c>
      <c r="C3" s="10"/>
      <c r="D3" s="10"/>
      <c r="E3" s="11">
        <f ca="1">OFFSET(R$23,MATCH(A3,R$24:R$29,0),2)</f>
        <v>0</v>
      </c>
      <c r="F3" s="2">
        <f ca="1">SUM(B3:E3)</f>
        <v>10</v>
      </c>
      <c r="G3" s="31">
        <f ca="1">(F3-10)/2</f>
        <v>0</v>
      </c>
      <c r="I3" s="8">
        <f ca="1">OFFSET(A$2,MATCH(J3,A$3:A$8,0),6)</f>
        <v>0</v>
      </c>
      <c r="J3" s="19" t="s">
        <v>38</v>
      </c>
      <c r="K3" s="2" t="s">
        <v>61</v>
      </c>
      <c r="L3" s="57"/>
      <c r="M3" s="57"/>
    </row>
    <row r="4" spans="1:25" ht="15.75" thickBot="1">
      <c r="A4" s="1" t="s">
        <v>37</v>
      </c>
      <c r="B4" s="12">
        <v>10</v>
      </c>
      <c r="C4" s="2"/>
      <c r="D4" s="2"/>
      <c r="E4" s="13">
        <f t="shared" ref="E4:E8" ca="1" si="0">OFFSET(R$23,MATCH(A4,R$24:R$29,0),2)</f>
        <v>0</v>
      </c>
      <c r="F4" s="2">
        <f t="shared" ref="F4:F8" ca="1" si="1">SUM(B4:E4)</f>
        <v>10</v>
      </c>
      <c r="G4" s="31">
        <f t="shared" ref="G4:G8" ca="1" si="2">(F4-10)/2</f>
        <v>0</v>
      </c>
      <c r="I4" t="s">
        <v>4</v>
      </c>
      <c r="J4" t="s">
        <v>13</v>
      </c>
      <c r="K4" s="1"/>
      <c r="N4" t="s">
        <v>57</v>
      </c>
    </row>
    <row r="5" spans="1:25" ht="15.75" thickBot="1">
      <c r="A5" s="1" t="s">
        <v>36</v>
      </c>
      <c r="B5" s="12">
        <v>20</v>
      </c>
      <c r="C5" s="2"/>
      <c r="D5" s="2"/>
      <c r="E5" s="13">
        <f t="shared" ca="1" si="0"/>
        <v>0</v>
      </c>
      <c r="F5" s="2">
        <f t="shared" ca="1" si="1"/>
        <v>20</v>
      </c>
      <c r="G5" s="31">
        <f t="shared" ca="1" si="2"/>
        <v>5</v>
      </c>
      <c r="I5" s="8">
        <f ca="1">OFFSET(A$2,MATCH(J5,A$3:A$8,0),6)</f>
        <v>0</v>
      </c>
      <c r="J5" s="19" t="s">
        <v>33</v>
      </c>
      <c r="K5" s="19" t="s">
        <v>54</v>
      </c>
      <c r="L5" s="45"/>
      <c r="M5" s="47"/>
      <c r="N5" s="18">
        <f xml:space="preserve"> INT((L$1+3)/3)</f>
        <v>1</v>
      </c>
    </row>
    <row r="6" spans="1:25" ht="15.75" thickBot="1">
      <c r="A6" s="1" t="s">
        <v>35</v>
      </c>
      <c r="B6" s="12">
        <v>10</v>
      </c>
      <c r="C6" s="2"/>
      <c r="D6" s="2"/>
      <c r="E6" s="13">
        <f ca="1">OFFSET(R$23,MATCH(A6,R$24:R$29,0),2)</f>
        <v>0</v>
      </c>
      <c r="F6" s="2">
        <f t="shared" ca="1" si="1"/>
        <v>10</v>
      </c>
      <c r="G6" s="31">
        <f t="shared" ca="1" si="2"/>
        <v>0</v>
      </c>
      <c r="K6" s="19" t="s">
        <v>44</v>
      </c>
      <c r="L6" s="45"/>
      <c r="M6" s="47"/>
      <c r="N6" s="18">
        <f xml:space="preserve"> INT((L$1+2)/3)</f>
        <v>1</v>
      </c>
    </row>
    <row r="7" spans="1:25" ht="15.75" thickBot="1">
      <c r="A7" s="1" t="s">
        <v>34</v>
      </c>
      <c r="B7" s="12">
        <v>10</v>
      </c>
      <c r="C7" s="2"/>
      <c r="D7" s="2"/>
      <c r="E7" s="13">
        <f t="shared" ca="1" si="0"/>
        <v>0</v>
      </c>
      <c r="F7" s="2">
        <f t="shared" ca="1" si="1"/>
        <v>10</v>
      </c>
      <c r="G7" s="31">
        <f t="shared" ca="1" si="2"/>
        <v>0</v>
      </c>
      <c r="K7" s="19" t="s">
        <v>55</v>
      </c>
      <c r="L7" s="45"/>
      <c r="M7" s="47"/>
      <c r="N7" s="18">
        <f xml:space="preserve"> INT((L$1+1)/3)</f>
        <v>0</v>
      </c>
    </row>
    <row r="8" spans="1:25" ht="15.75" thickBot="1">
      <c r="A8" s="3" t="s">
        <v>33</v>
      </c>
      <c r="B8" s="14">
        <v>10</v>
      </c>
      <c r="C8" s="15"/>
      <c r="D8" s="15"/>
      <c r="E8" s="16">
        <f t="shared" ca="1" si="0"/>
        <v>0</v>
      </c>
      <c r="F8" s="4">
        <f t="shared" ca="1" si="1"/>
        <v>10</v>
      </c>
      <c r="G8" s="32">
        <f t="shared" ca="1" si="2"/>
        <v>0</v>
      </c>
      <c r="K8" s="21" t="s">
        <v>56</v>
      </c>
      <c r="L8" s="48"/>
      <c r="M8" s="49"/>
      <c r="N8" s="18">
        <f xml:space="preserve"> INT((L$1+2)/3)</f>
        <v>1</v>
      </c>
    </row>
    <row r="9" spans="1:25" ht="15.75" thickBot="1">
      <c r="K9" s="49" t="s">
        <v>110</v>
      </c>
      <c r="L9" s="48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49"/>
    </row>
    <row r="10" spans="1:25" ht="15.75" thickBot="1">
      <c r="A10" s="45" t="s">
        <v>5</v>
      </c>
      <c r="B10" s="46"/>
      <c r="C10" s="46"/>
      <c r="D10" s="46"/>
      <c r="E10" s="47"/>
      <c r="G10" t="s">
        <v>7</v>
      </c>
      <c r="H10">
        <v>10</v>
      </c>
      <c r="K10" s="55"/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5"/>
    </row>
    <row r="11" spans="1:25" ht="15.75" thickBot="1">
      <c r="A11" s="19" t="s">
        <v>2</v>
      </c>
      <c r="B11" s="23" t="s">
        <v>0</v>
      </c>
      <c r="C11" s="23" t="s">
        <v>60</v>
      </c>
      <c r="D11" s="23" t="s">
        <v>143</v>
      </c>
      <c r="E11" s="18" t="s">
        <v>65</v>
      </c>
      <c r="G11" t="s">
        <v>127</v>
      </c>
      <c r="H11" t="s">
        <v>39</v>
      </c>
      <c r="I11" s="42">
        <f ca="1">OFFSET(A53,MATCH(H11,A54:A57,0),1)</f>
        <v>1</v>
      </c>
      <c r="K11" s="21" t="s">
        <v>101</v>
      </c>
      <c r="L11" s="45"/>
      <c r="M11" s="46"/>
      <c r="N11" s="46"/>
      <c r="O11" s="46"/>
      <c r="P11" s="47"/>
    </row>
    <row r="12" spans="1:25" ht="15.75" thickBot="1">
      <c r="A12" s="25">
        <f ca="1">SUM(B12:E12)</f>
        <v>30</v>
      </c>
      <c r="B12" s="15">
        <f ca="1" xml:space="preserve"> 30 - (5*INT((51-O1)/50))+ (5*INT(O1/3))</f>
        <v>30</v>
      </c>
      <c r="C12" s="15">
        <f xml:space="preserve"> INT((L1+1)/3) * 5</f>
        <v>0</v>
      </c>
      <c r="D12" s="15">
        <f ca="1" xml:space="preserve"> (INT(OFFSET(A$66,MATCH(L16,A$67:A$69,0),1))*(INT(M16/5)+1))*5</f>
        <v>0</v>
      </c>
      <c r="E12" s="16"/>
      <c r="G12" t="s">
        <v>128</v>
      </c>
      <c r="H12" t="s">
        <v>39</v>
      </c>
      <c r="I12" s="42">
        <f ca="1">OFFSET(A$53,MATCH(H12,A$54:A$57,0),1)</f>
        <v>1</v>
      </c>
    </row>
    <row r="13" spans="1:25" ht="15.75" thickBot="1">
      <c r="G13" t="s">
        <v>129</v>
      </c>
      <c r="H13" t="s">
        <v>40</v>
      </c>
      <c r="I13" s="42">
        <f t="shared" ref="I13:I14" ca="1" si="3">OFFSET(A$53,MATCH(H13,A$54:A$57,0),1)</f>
        <v>0.5</v>
      </c>
      <c r="K13" s="48" t="s">
        <v>47</v>
      </c>
      <c r="L13" s="52"/>
      <c r="M13" s="52"/>
      <c r="N13" s="52"/>
      <c r="O13" s="49"/>
    </row>
    <row r="14" spans="1:25" ht="15.75" thickBot="1">
      <c r="A14" s="19" t="s">
        <v>144</v>
      </c>
      <c r="B14" s="18"/>
      <c r="G14" t="s">
        <v>130</v>
      </c>
      <c r="H14" t="s">
        <v>39</v>
      </c>
      <c r="I14" s="42">
        <f t="shared" ca="1" si="3"/>
        <v>1</v>
      </c>
      <c r="K14" s="19" t="s">
        <v>62</v>
      </c>
      <c r="L14" s="10" t="s">
        <v>48</v>
      </c>
      <c r="M14" s="10" t="s">
        <v>63</v>
      </c>
      <c r="N14" s="10" t="s">
        <v>64</v>
      </c>
      <c r="O14" s="10" t="s">
        <v>65</v>
      </c>
      <c r="P14" s="19" t="s">
        <v>2</v>
      </c>
      <c r="R14" s="17" t="s">
        <v>99</v>
      </c>
      <c r="S14" s="18"/>
    </row>
    <row r="15" spans="1:25" ht="15.75" thickBot="1">
      <c r="A15" s="20" t="s">
        <v>145</v>
      </c>
      <c r="B15" s="13"/>
      <c r="K15" s="12" t="s">
        <v>66</v>
      </c>
      <c r="L15" s="9" t="s">
        <v>49</v>
      </c>
      <c r="M15" s="10">
        <f ca="1" xml:space="preserve"> INT(OFFSET(A$66,MATCH(L15,A$67:A$69,0),1)*L$1)</f>
        <v>0</v>
      </c>
      <c r="N15" s="10">
        <f ca="1">G4</f>
        <v>0</v>
      </c>
      <c r="O15" s="11"/>
      <c r="P15" s="40">
        <f ca="1">SUM(M15:O15)</f>
        <v>0</v>
      </c>
      <c r="R15" s="48"/>
      <c r="S15" s="49"/>
      <c r="T15" s="19"/>
    </row>
    <row r="16" spans="1:25" ht="15.75" thickBot="1">
      <c r="A16" s="20" t="s">
        <v>146</v>
      </c>
      <c r="B16" s="13"/>
      <c r="D16" s="17" t="s">
        <v>9</v>
      </c>
      <c r="E16" s="23" t="s">
        <v>10</v>
      </c>
      <c r="F16" s="17" t="s">
        <v>8</v>
      </c>
      <c r="G16" s="18" t="s">
        <v>11</v>
      </c>
      <c r="H16" s="27" t="s">
        <v>12</v>
      </c>
      <c r="K16" s="12" t="s">
        <v>67</v>
      </c>
      <c r="L16" s="12" t="s">
        <v>49</v>
      </c>
      <c r="M16" s="2">
        <f t="shared" ref="M16:M30" ca="1" si="4" xml:space="preserve"> INT(OFFSET(A$66,MATCH(L16,A$67:A$69,0),1)*L$1)</f>
        <v>0</v>
      </c>
      <c r="N16" s="2">
        <f ca="1">G3</f>
        <v>0</v>
      </c>
      <c r="O16" s="13"/>
      <c r="P16" s="40">
        <f t="shared" ref="P16:P30" ca="1" si="5">SUM(M16:O16)</f>
        <v>0</v>
      </c>
      <c r="R16" s="50"/>
      <c r="S16" s="51"/>
      <c r="T16" s="19"/>
    </row>
    <row r="17" spans="1:20" ht="15.75" thickBot="1">
      <c r="A17" s="20" t="s">
        <v>147</v>
      </c>
      <c r="B17" s="13"/>
      <c r="D17" s="14"/>
      <c r="E17" s="15"/>
      <c r="F17" s="33"/>
      <c r="G17" s="34">
        <f ca="1">(H10+I5)*(L1+1)-D17+H17</f>
        <v>20</v>
      </c>
      <c r="H17" s="21">
        <v>0</v>
      </c>
      <c r="K17" s="12" t="s">
        <v>68</v>
      </c>
      <c r="L17" s="12" t="s">
        <v>49</v>
      </c>
      <c r="M17" s="2">
        <f t="shared" ca="1" si="4"/>
        <v>0</v>
      </c>
      <c r="N17" s="2">
        <f ca="1">G4</f>
        <v>0</v>
      </c>
      <c r="O17" s="13"/>
      <c r="P17" s="40">
        <f t="shared" ca="1" si="5"/>
        <v>0</v>
      </c>
      <c r="R17" s="50"/>
      <c r="S17" s="51"/>
    </row>
    <row r="18" spans="1:20" ht="15.75" thickBot="1">
      <c r="A18" s="21" t="s">
        <v>148</v>
      </c>
      <c r="B18" s="16"/>
      <c r="K18" s="12" t="s">
        <v>69</v>
      </c>
      <c r="L18" s="12" t="s">
        <v>49</v>
      </c>
      <c r="M18" s="2">
        <f t="shared" ca="1" si="4"/>
        <v>0</v>
      </c>
      <c r="N18" s="2">
        <f ca="1">G4</f>
        <v>0</v>
      </c>
      <c r="O18" s="13"/>
      <c r="P18" s="40">
        <f t="shared" ca="1" si="5"/>
        <v>0</v>
      </c>
      <c r="R18" s="50"/>
      <c r="S18" s="51"/>
    </row>
    <row r="19" spans="1:20" ht="15.75" thickBot="1">
      <c r="K19" s="12" t="s">
        <v>70</v>
      </c>
      <c r="L19" s="12" t="s">
        <v>49</v>
      </c>
      <c r="M19" s="2">
        <f t="shared" ca="1" si="4"/>
        <v>0</v>
      </c>
      <c r="N19" s="2">
        <f ca="1">G4</f>
        <v>0</v>
      </c>
      <c r="O19" s="13"/>
      <c r="P19" s="40">
        <f t="shared" ca="1" si="5"/>
        <v>0</v>
      </c>
      <c r="R19" s="53"/>
      <c r="S19" s="55"/>
    </row>
    <row r="20" spans="1:20" ht="15.75" thickBot="1">
      <c r="A20" s="19" t="s">
        <v>199</v>
      </c>
      <c r="B20" s="17" t="s">
        <v>0</v>
      </c>
      <c r="C20" s="23" t="s">
        <v>58</v>
      </c>
      <c r="D20" s="23" t="s">
        <v>86</v>
      </c>
      <c r="E20" s="23" t="s">
        <v>142</v>
      </c>
      <c r="F20" s="23" t="s">
        <v>4</v>
      </c>
      <c r="G20" s="23" t="s">
        <v>60</v>
      </c>
      <c r="H20" s="18" t="s">
        <v>65</v>
      </c>
      <c r="K20" s="12" t="s">
        <v>6</v>
      </c>
      <c r="L20" s="12" t="s">
        <v>48</v>
      </c>
      <c r="M20" s="2">
        <f ca="1" xml:space="preserve"> INT(OFFSET(A$66,MATCH(L20,A$67:A$69,0),1)*L$1)</f>
        <v>1</v>
      </c>
      <c r="N20" s="2">
        <f ca="1">G5</f>
        <v>5</v>
      </c>
      <c r="O20" s="13"/>
      <c r="P20" s="40">
        <f t="shared" ca="1" si="5"/>
        <v>6</v>
      </c>
    </row>
    <row r="21" spans="1:20" ht="15.75" thickBot="1">
      <c r="A21" s="25">
        <f ca="1">SUM(B21:H21)</f>
        <v>11</v>
      </c>
      <c r="B21" s="14">
        <v>10</v>
      </c>
      <c r="C21" s="15">
        <f ca="1">INT((100-O1)/99)-INT((O1+100)/103)</f>
        <v>0</v>
      </c>
      <c r="D21" s="15"/>
      <c r="E21" s="15"/>
      <c r="F21" s="15">
        <f ca="1">I5</f>
        <v>0</v>
      </c>
      <c r="G21" s="15">
        <f>L1</f>
        <v>1</v>
      </c>
      <c r="H21" s="16"/>
      <c r="K21" s="12" t="s">
        <v>71</v>
      </c>
      <c r="L21" s="12" t="s">
        <v>49</v>
      </c>
      <c r="M21" s="2">
        <f t="shared" ca="1" si="4"/>
        <v>0</v>
      </c>
      <c r="N21" s="2">
        <f ca="1">G$6</f>
        <v>0</v>
      </c>
      <c r="O21" s="13"/>
      <c r="P21" s="40">
        <f t="shared" ca="1" si="5"/>
        <v>0</v>
      </c>
    </row>
    <row r="22" spans="1:20" ht="15.75" thickBot="1">
      <c r="A22" s="27" t="s">
        <v>150</v>
      </c>
      <c r="B22" s="45"/>
      <c r="C22" s="46"/>
      <c r="D22" s="46"/>
      <c r="E22" s="46"/>
      <c r="F22" s="47"/>
      <c r="K22" s="12" t="s">
        <v>72</v>
      </c>
      <c r="L22" s="12" t="s">
        <v>49</v>
      </c>
      <c r="M22" s="2">
        <f t="shared" ca="1" si="4"/>
        <v>0</v>
      </c>
      <c r="N22" s="2">
        <f t="shared" ref="N22:N26" ca="1" si="6">G$6</f>
        <v>0</v>
      </c>
      <c r="O22" s="13"/>
      <c r="P22" s="40">
        <f t="shared" ca="1" si="5"/>
        <v>0</v>
      </c>
    </row>
    <row r="23" spans="1:20" ht="15.75" thickBot="1">
      <c r="A23" s="17" t="s">
        <v>200</v>
      </c>
      <c r="B23" s="10" t="s">
        <v>2</v>
      </c>
      <c r="C23" s="10" t="s">
        <v>0</v>
      </c>
      <c r="D23" s="10" t="s">
        <v>149</v>
      </c>
      <c r="E23" s="10" t="s">
        <v>86</v>
      </c>
      <c r="F23" s="11" t="s">
        <v>14</v>
      </c>
      <c r="H23" s="19" t="s">
        <v>153</v>
      </c>
      <c r="I23" s="18" t="s">
        <v>15</v>
      </c>
      <c r="K23" s="12" t="s">
        <v>73</v>
      </c>
      <c r="L23" s="12" t="s">
        <v>49</v>
      </c>
      <c r="M23" s="2">
        <f t="shared" ca="1" si="4"/>
        <v>0</v>
      </c>
      <c r="N23" s="2">
        <f t="shared" ca="1" si="6"/>
        <v>0</v>
      </c>
      <c r="O23" s="13"/>
      <c r="P23" s="40">
        <f t="shared" ca="1" si="5"/>
        <v>0</v>
      </c>
      <c r="R23" s="17" t="s">
        <v>23</v>
      </c>
      <c r="S23" s="19" t="s">
        <v>1</v>
      </c>
      <c r="T23" s="18" t="s">
        <v>25</v>
      </c>
    </row>
    <row r="24" spans="1:20" ht="15.75" thickBot="1">
      <c r="A24" s="9" t="s">
        <v>128</v>
      </c>
      <c r="B24" s="28">
        <f ca="1">SUM(C24:F24)</f>
        <v>9</v>
      </c>
      <c r="C24" s="11">
        <f ca="1">(INT(I12+0.4)*2)+INT((L$1+2)*I12-1)</f>
        <v>4</v>
      </c>
      <c r="D24" s="10">
        <f ca="1">MAX(G3,G5)</f>
        <v>5</v>
      </c>
      <c r="E24" s="10"/>
      <c r="F24" s="11"/>
      <c r="H24" s="25">
        <f ca="1">G4+I24</f>
        <v>0</v>
      </c>
      <c r="I24" s="16"/>
      <c r="K24" s="12" t="s">
        <v>74</v>
      </c>
      <c r="L24" s="12" t="s">
        <v>49</v>
      </c>
      <c r="M24" s="2">
        <f t="shared" ca="1" si="4"/>
        <v>0</v>
      </c>
      <c r="N24" s="2">
        <f t="shared" ca="1" si="6"/>
        <v>0</v>
      </c>
      <c r="O24" s="13"/>
      <c r="P24" s="40">
        <f t="shared" ca="1" si="5"/>
        <v>0</v>
      </c>
      <c r="R24" s="12" t="s">
        <v>33</v>
      </c>
      <c r="S24" s="20" t="s">
        <v>24</v>
      </c>
      <c r="T24" s="22">
        <f>2*INT((L$1+3)/5)</f>
        <v>0</v>
      </c>
    </row>
    <row r="25" spans="1:20" ht="15.75" thickBot="1">
      <c r="A25" s="12" t="s">
        <v>129</v>
      </c>
      <c r="B25" s="29">
        <f t="shared" ref="B25:B26" ca="1" si="7">SUM(C25:F25)</f>
        <v>0</v>
      </c>
      <c r="C25" s="13">
        <f ca="1">(INT(I13+0.4)*2)+INT((L$1+2)*I13-1)</f>
        <v>0</v>
      </c>
      <c r="D25" s="2">
        <f ca="1">MAX(G4,G6)</f>
        <v>0</v>
      </c>
      <c r="E25" s="2"/>
      <c r="F25" s="13"/>
      <c r="K25" s="12" t="s">
        <v>75</v>
      </c>
      <c r="L25" s="12" t="s">
        <v>49</v>
      </c>
      <c r="M25" s="2">
        <f t="shared" ca="1" si="4"/>
        <v>0</v>
      </c>
      <c r="N25" s="2">
        <f t="shared" ca="1" si="6"/>
        <v>0</v>
      </c>
      <c r="O25" s="13"/>
      <c r="P25" s="40">
        <f t="shared" ca="1" si="5"/>
        <v>0</v>
      </c>
      <c r="R25" s="12" t="s">
        <v>36</v>
      </c>
      <c r="S25" s="20" t="s">
        <v>26</v>
      </c>
      <c r="T25" s="20">
        <f>2*INT((L$1+95)/100) + 2*INT((L$1+91)/100) + 2*INT((L$1+86)/100) + 2*INT((L$1+82)/100)</f>
        <v>0</v>
      </c>
    </row>
    <row r="26" spans="1:20" ht="15.75" thickBot="1">
      <c r="A26" s="14" t="s">
        <v>130</v>
      </c>
      <c r="B26" s="25">
        <f t="shared" ca="1" si="7"/>
        <v>4</v>
      </c>
      <c r="C26" s="16">
        <f ca="1">(INT(I14+0.4)*2)+INT((L$1+2)*I14-1)</f>
        <v>4</v>
      </c>
      <c r="D26" s="15">
        <f ca="1">MAX(G7,G8)</f>
        <v>0</v>
      </c>
      <c r="E26" s="15"/>
      <c r="F26" s="16"/>
      <c r="H26" s="17" t="s">
        <v>16</v>
      </c>
      <c r="I26" s="22" t="s">
        <v>93</v>
      </c>
      <c r="J26" s="18" t="s">
        <v>17</v>
      </c>
      <c r="K26" s="12" t="s">
        <v>76</v>
      </c>
      <c r="L26" s="12" t="s">
        <v>49</v>
      </c>
      <c r="M26" s="2">
        <f t="shared" ca="1" si="4"/>
        <v>0</v>
      </c>
      <c r="N26" s="2">
        <f t="shared" ca="1" si="6"/>
        <v>0</v>
      </c>
      <c r="O26" s="13"/>
      <c r="P26" s="40">
        <f t="shared" ca="1" si="5"/>
        <v>0</v>
      </c>
      <c r="R26" s="12" t="s">
        <v>35</v>
      </c>
      <c r="S26" s="20" t="s">
        <v>27</v>
      </c>
      <c r="T26" s="20">
        <f>2*INT((L$1-1)/6)</f>
        <v>0</v>
      </c>
    </row>
    <row r="27" spans="1:20" ht="15.75" thickBot="1">
      <c r="A27" s="19" t="s">
        <v>150</v>
      </c>
      <c r="B27" s="53"/>
      <c r="C27" s="54"/>
      <c r="D27" s="54"/>
      <c r="E27" s="54"/>
      <c r="F27" s="55"/>
      <c r="H27" s="9" t="s">
        <v>81</v>
      </c>
      <c r="I27" s="28">
        <f ca="1" xml:space="preserve"> 5 + (INT(L$1/5) +J27+ INT(O1/3) + INT(O1/4))*5</f>
        <v>5</v>
      </c>
      <c r="J27" s="11"/>
      <c r="K27" s="2" t="s">
        <v>77</v>
      </c>
      <c r="L27" s="12" t="s">
        <v>49</v>
      </c>
      <c r="M27" s="2">
        <f t="shared" ca="1" si="4"/>
        <v>0</v>
      </c>
      <c r="N27" s="24">
        <f ca="1">G$8</f>
        <v>0</v>
      </c>
      <c r="O27" s="13"/>
      <c r="P27" s="40">
        <f t="shared" ca="1" si="5"/>
        <v>0</v>
      </c>
      <c r="R27" s="14" t="s">
        <v>34</v>
      </c>
      <c r="S27" s="21" t="s">
        <v>28</v>
      </c>
      <c r="T27" s="21">
        <f xml:space="preserve"> 2*INT((L$1+90)/100) + 2*INT((L$1+85)/100) + 2*INT((L$1+80)/100)</f>
        <v>0</v>
      </c>
    </row>
    <row r="28" spans="1:20" ht="15.75" thickBot="1">
      <c r="H28" s="12" t="s">
        <v>82</v>
      </c>
      <c r="I28" s="29">
        <f xml:space="preserve"> 25 + (INT(L$1/2) +J28)*5</f>
        <v>25</v>
      </c>
      <c r="J28" s="13"/>
      <c r="K28" s="2" t="s">
        <v>78</v>
      </c>
      <c r="L28" s="12" t="s">
        <v>49</v>
      </c>
      <c r="M28" s="2">
        <f t="shared" ca="1" si="4"/>
        <v>0</v>
      </c>
      <c r="N28" s="24">
        <f t="shared" ref="N28:N29" ca="1" si="8">G$8</f>
        <v>0</v>
      </c>
      <c r="O28" s="13"/>
      <c r="P28" s="40">
        <f t="shared" ca="1" si="5"/>
        <v>0</v>
      </c>
      <c r="R28" s="22" t="s">
        <v>38</v>
      </c>
      <c r="S28" s="22" t="s">
        <v>29</v>
      </c>
      <c r="T28" s="11">
        <v>0</v>
      </c>
    </row>
    <row r="29" spans="1:20" ht="15.75" thickBot="1">
      <c r="A29" s="19" t="s">
        <v>151</v>
      </c>
      <c r="B29" s="19" t="s">
        <v>2</v>
      </c>
      <c r="C29" s="23" t="s">
        <v>0</v>
      </c>
      <c r="D29" s="23" t="s">
        <v>60</v>
      </c>
      <c r="E29" s="23" t="s">
        <v>149</v>
      </c>
      <c r="F29" s="18" t="s">
        <v>65</v>
      </c>
      <c r="H29" s="12" t="s">
        <v>44</v>
      </c>
      <c r="I29" s="29">
        <f xml:space="preserve"> 100 + (INT(L$1*2) +J29)*5</f>
        <v>110</v>
      </c>
      <c r="J29" s="13"/>
      <c r="K29" s="2" t="s">
        <v>79</v>
      </c>
      <c r="L29" s="12" t="s">
        <v>49</v>
      </c>
      <c r="M29" s="2">
        <f t="shared" ca="1" si="4"/>
        <v>0</v>
      </c>
      <c r="N29" s="24">
        <f t="shared" ca="1" si="8"/>
        <v>0</v>
      </c>
      <c r="O29" s="13"/>
      <c r="P29" s="40">
        <f t="shared" ca="1" si="5"/>
        <v>0</v>
      </c>
      <c r="R29" s="21" t="s">
        <v>37</v>
      </c>
      <c r="S29" s="21" t="s">
        <v>29</v>
      </c>
      <c r="T29" s="16">
        <v>0</v>
      </c>
    </row>
    <row r="30" spans="1:20" ht="15.75" thickBot="1">
      <c r="A30" s="20" t="s">
        <v>154</v>
      </c>
      <c r="B30" s="28">
        <f ca="1">SUM(C30:F30)</f>
        <v>11</v>
      </c>
      <c r="C30" s="2">
        <v>10</v>
      </c>
      <c r="D30" s="2">
        <f>L$1</f>
        <v>1</v>
      </c>
      <c r="E30" s="2">
        <f ca="1">G7</f>
        <v>0</v>
      </c>
      <c r="F30" s="13"/>
      <c r="H30" s="12" t="s">
        <v>83</v>
      </c>
      <c r="I30" s="29">
        <f xml:space="preserve"> 400 + (INT(L$1*8) +J30)*5</f>
        <v>440</v>
      </c>
      <c r="J30" s="13"/>
      <c r="K30" s="15" t="s">
        <v>80</v>
      </c>
      <c r="L30" s="14" t="s">
        <v>49</v>
      </c>
      <c r="M30" s="15">
        <f t="shared" ca="1" si="4"/>
        <v>0</v>
      </c>
      <c r="N30" s="15">
        <f ca="1">G7</f>
        <v>0</v>
      </c>
      <c r="O30" s="16"/>
      <c r="P30" s="41">
        <f t="shared" ca="1" si="5"/>
        <v>0</v>
      </c>
    </row>
    <row r="31" spans="1:20" ht="15.75" thickBot="1">
      <c r="A31" s="20" t="s">
        <v>155</v>
      </c>
      <c r="B31" s="29">
        <f t="shared" ref="B31:B34" ca="1" si="9">SUM(C31:F31)</f>
        <v>11</v>
      </c>
      <c r="C31" s="2">
        <v>10</v>
      </c>
      <c r="D31" s="2">
        <f>L$1</f>
        <v>1</v>
      </c>
      <c r="E31" s="2">
        <f ca="1">G6</f>
        <v>0</v>
      </c>
      <c r="F31" s="13"/>
      <c r="H31" s="14" t="s">
        <v>84</v>
      </c>
      <c r="I31" s="25">
        <f xml:space="preserve"> 1000 + (INT(L$1*20) +J31)*5</f>
        <v>1100</v>
      </c>
      <c r="J31" s="16"/>
    </row>
    <row r="32" spans="1:20" ht="15.75" thickBot="1">
      <c r="A32" s="20" t="s">
        <v>156</v>
      </c>
      <c r="B32" s="29">
        <f t="shared" ca="1" si="9"/>
        <v>11</v>
      </c>
      <c r="C32" s="2">
        <v>10</v>
      </c>
      <c r="D32" s="2">
        <f t="shared" ref="D32:D33" si="10">L$1</f>
        <v>1</v>
      </c>
      <c r="E32" s="2">
        <f ca="1">G7</f>
        <v>0</v>
      </c>
      <c r="F32" s="13"/>
    </row>
    <row r="33" spans="1:16" ht="15.75" thickBot="1">
      <c r="A33" s="20" t="s">
        <v>157</v>
      </c>
      <c r="B33" s="29">
        <f t="shared" ca="1" si="9"/>
        <v>11</v>
      </c>
      <c r="C33" s="24">
        <v>10</v>
      </c>
      <c r="D33" s="2">
        <f t="shared" si="10"/>
        <v>1</v>
      </c>
      <c r="E33" s="2">
        <f ca="1">G8</f>
        <v>0</v>
      </c>
      <c r="F33" s="13"/>
      <c r="H33" s="19" t="s">
        <v>90</v>
      </c>
      <c r="I33" s="23" t="s">
        <v>58</v>
      </c>
      <c r="J33" s="23" t="s">
        <v>149</v>
      </c>
      <c r="K33" s="18" t="s">
        <v>60</v>
      </c>
      <c r="M33" s="45" t="s">
        <v>91</v>
      </c>
      <c r="N33" s="46"/>
      <c r="O33" s="19" t="s">
        <v>92</v>
      </c>
      <c r="P33" s="18" t="s">
        <v>93</v>
      </c>
    </row>
    <row r="34" spans="1:16" ht="15.75" thickBot="1">
      <c r="A34" s="21" t="s">
        <v>158</v>
      </c>
      <c r="B34" s="25">
        <f t="shared" ca="1" si="9"/>
        <v>11</v>
      </c>
      <c r="C34" s="15">
        <v>10</v>
      </c>
      <c r="D34" s="15">
        <f>L1</f>
        <v>1</v>
      </c>
      <c r="E34" s="15">
        <f ca="1">G8</f>
        <v>0</v>
      </c>
      <c r="F34" s="16"/>
      <c r="H34" s="25">
        <f ca="1" xml:space="preserve"> 10+I34+J34+INT(K34/2)</f>
        <v>10</v>
      </c>
      <c r="I34" s="15">
        <f ca="1" xml:space="preserve"> 0 - (2*INT((51-O1)/50))+ (2*INT(O1/3))</f>
        <v>0</v>
      </c>
      <c r="J34" s="15">
        <f ca="1">MAX(G3:G4)</f>
        <v>0</v>
      </c>
      <c r="K34" s="16">
        <f>L1</f>
        <v>1</v>
      </c>
      <c r="M34" s="48" t="s">
        <v>94</v>
      </c>
      <c r="N34" s="52"/>
      <c r="O34" s="20"/>
      <c r="P34" s="13" t="s">
        <v>98</v>
      </c>
    </row>
    <row r="35" spans="1:16" ht="15.75" thickBot="1">
      <c r="M35" s="50" t="s">
        <v>95</v>
      </c>
      <c r="N35" s="56"/>
      <c r="O35" s="20"/>
      <c r="P35" s="13"/>
    </row>
    <row r="36" spans="1:16" ht="15.75" thickBot="1">
      <c r="A36" s="45" t="s">
        <v>50</v>
      </c>
      <c r="B36" s="47"/>
      <c r="C36" s="19" t="s">
        <v>160</v>
      </c>
      <c r="D36" s="22" t="s">
        <v>159</v>
      </c>
      <c r="M36" s="50" t="s">
        <v>96</v>
      </c>
      <c r="N36" s="56"/>
      <c r="O36" s="20"/>
      <c r="P36" s="13"/>
    </row>
    <row r="37" spans="1:16" ht="15.75" thickBot="1">
      <c r="A37" s="48"/>
      <c r="B37" s="49"/>
      <c r="C37" s="12" t="s">
        <v>53</v>
      </c>
      <c r="D37" s="28">
        <f ca="1">INT(OFFSET(A$71,MATCH(C37,A$72:A$76,0),1)/2*L$1)</f>
        <v>0</v>
      </c>
      <c r="F37" s="17" t="s">
        <v>85</v>
      </c>
      <c r="G37" s="18"/>
      <c r="H37" s="19" t="s">
        <v>17</v>
      </c>
      <c r="M37" s="53" t="s">
        <v>97</v>
      </c>
      <c r="N37" s="54"/>
      <c r="O37" s="21"/>
      <c r="P37" s="16"/>
    </row>
    <row r="38" spans="1:16" ht="15.75" thickBot="1">
      <c r="A38" s="50"/>
      <c r="B38" s="51"/>
      <c r="C38" s="12" t="s">
        <v>53</v>
      </c>
      <c r="D38" s="29">
        <f t="shared" ref="D38:D42" ca="1" si="11">INT(OFFSET(A$71,MATCH(C38,A$72:A$76,0),1)/2*L$1)</f>
        <v>0</v>
      </c>
      <c r="F38" s="30">
        <f ca="1">INT(G5/(2-(INT((M20+90)/100))))</f>
        <v>2</v>
      </c>
      <c r="G38" s="7"/>
      <c r="H38" s="19"/>
    </row>
    <row r="39" spans="1:16" ht="15.75" thickBot="1">
      <c r="A39" s="50"/>
      <c r="B39" s="51"/>
      <c r="C39" s="12" t="s">
        <v>53</v>
      </c>
      <c r="D39" s="29">
        <f t="shared" ca="1" si="11"/>
        <v>0</v>
      </c>
    </row>
    <row r="40" spans="1:16" ht="15.75" thickBot="1">
      <c r="A40" s="50"/>
      <c r="B40" s="51"/>
      <c r="C40" s="12" t="s">
        <v>53</v>
      </c>
      <c r="D40" s="29">
        <f t="shared" ca="1" si="11"/>
        <v>0</v>
      </c>
      <c r="F40" s="45" t="s">
        <v>152</v>
      </c>
      <c r="G40" s="47"/>
    </row>
    <row r="41" spans="1:16" ht="15.75" thickBot="1">
      <c r="A41" s="50"/>
      <c r="B41" s="51"/>
      <c r="C41" s="12" t="s">
        <v>53</v>
      </c>
      <c r="D41" s="29">
        <f t="shared" ca="1" si="11"/>
        <v>0</v>
      </c>
      <c r="G41" s="30"/>
    </row>
    <row r="42" spans="1:16" ht="15.75" thickBot="1">
      <c r="A42" s="53"/>
      <c r="B42" s="55"/>
      <c r="C42" s="14" t="s">
        <v>53</v>
      </c>
      <c r="D42" s="25">
        <f t="shared" ca="1" si="11"/>
        <v>0</v>
      </c>
    </row>
    <row r="53" spans="1:2">
      <c r="A53" t="s">
        <v>30</v>
      </c>
    </row>
    <row r="54" spans="1:2">
      <c r="A54" t="s">
        <v>39</v>
      </c>
      <c r="B54">
        <v>1</v>
      </c>
    </row>
    <row r="55" spans="1:2">
      <c r="A55" t="s">
        <v>31</v>
      </c>
      <c r="B55">
        <v>0.75</v>
      </c>
    </row>
    <row r="56" spans="1:2">
      <c r="A56" t="s">
        <v>39</v>
      </c>
      <c r="B56">
        <v>0.66600000000000004</v>
      </c>
    </row>
    <row r="57" spans="1:2">
      <c r="A57" t="s">
        <v>40</v>
      </c>
      <c r="B57">
        <v>0.5</v>
      </c>
    </row>
    <row r="59" spans="1:2">
      <c r="A59" t="s">
        <v>41</v>
      </c>
    </row>
    <row r="60" spans="1:2">
      <c r="A60" t="s">
        <v>42</v>
      </c>
      <c r="B60">
        <v>0</v>
      </c>
    </row>
    <row r="61" spans="1:2">
      <c r="A61" t="s">
        <v>43</v>
      </c>
      <c r="B61">
        <v>1</v>
      </c>
    </row>
    <row r="62" spans="1:2">
      <c r="A62" t="s">
        <v>44</v>
      </c>
      <c r="B62">
        <v>2</v>
      </c>
    </row>
    <row r="63" spans="1:2">
      <c r="A63" t="s">
        <v>45</v>
      </c>
      <c r="B63">
        <v>3</v>
      </c>
    </row>
    <row r="64" spans="1:2">
      <c r="A64" t="s">
        <v>46</v>
      </c>
      <c r="B64">
        <v>4</v>
      </c>
    </row>
    <row r="66" spans="1:2">
      <c r="A66" t="s">
        <v>47</v>
      </c>
    </row>
    <row r="67" spans="1:2">
      <c r="A67" t="s">
        <v>48</v>
      </c>
      <c r="B67">
        <v>1</v>
      </c>
    </row>
    <row r="68" spans="1:2">
      <c r="A68" t="s">
        <v>49</v>
      </c>
      <c r="B68">
        <v>0</v>
      </c>
    </row>
    <row r="71" spans="1:2">
      <c r="A71" t="s">
        <v>50</v>
      </c>
    </row>
    <row r="72" spans="1:2">
      <c r="A72" t="s">
        <v>52</v>
      </c>
      <c r="B72">
        <v>1</v>
      </c>
    </row>
    <row r="73" spans="1:2">
      <c r="A73" t="s">
        <v>32</v>
      </c>
      <c r="B73">
        <v>2</v>
      </c>
    </row>
    <row r="74" spans="1:2">
      <c r="A74" t="s">
        <v>51</v>
      </c>
      <c r="B74">
        <v>4</v>
      </c>
    </row>
    <row r="75" spans="1:2">
      <c r="A75" t="s">
        <v>161</v>
      </c>
      <c r="B75">
        <v>10000000</v>
      </c>
    </row>
    <row r="76" spans="1:2">
      <c r="A76" t="s">
        <v>53</v>
      </c>
      <c r="B76">
        <v>0</v>
      </c>
    </row>
    <row r="78" spans="1:2">
      <c r="A78" t="s">
        <v>7</v>
      </c>
    </row>
    <row r="79" spans="1:2">
      <c r="A79">
        <v>8</v>
      </c>
    </row>
    <row r="80" spans="1:2">
      <c r="A80">
        <v>10</v>
      </c>
    </row>
    <row r="81" spans="1:1">
      <c r="A81">
        <v>12</v>
      </c>
    </row>
  </sheetData>
  <mergeCells count="32">
    <mergeCell ref="K9:K10"/>
    <mergeCell ref="L11:P11"/>
    <mergeCell ref="L2:M2"/>
    <mergeCell ref="L3:M3"/>
    <mergeCell ref="A10:E10"/>
    <mergeCell ref="L5:M5"/>
    <mergeCell ref="L6:M6"/>
    <mergeCell ref="L7:M7"/>
    <mergeCell ref="L8:M8"/>
    <mergeCell ref="L9:Y9"/>
    <mergeCell ref="L10:Y10"/>
    <mergeCell ref="R15:S15"/>
    <mergeCell ref="R16:S16"/>
    <mergeCell ref="R17:S17"/>
    <mergeCell ref="R18:S18"/>
    <mergeCell ref="R19:S19"/>
    <mergeCell ref="A40:B40"/>
    <mergeCell ref="A41:B41"/>
    <mergeCell ref="A42:B42"/>
    <mergeCell ref="F40:G40"/>
    <mergeCell ref="M33:N33"/>
    <mergeCell ref="M34:N34"/>
    <mergeCell ref="M35:N35"/>
    <mergeCell ref="M36:N36"/>
    <mergeCell ref="M37:N37"/>
    <mergeCell ref="A39:B39"/>
    <mergeCell ref="B22:F22"/>
    <mergeCell ref="A36:B36"/>
    <mergeCell ref="A37:B37"/>
    <mergeCell ref="A38:B38"/>
    <mergeCell ref="K13:O13"/>
    <mergeCell ref="B27:F27"/>
  </mergeCells>
  <dataValidations count="8">
    <dataValidation type="list" allowBlank="1" showInputMessage="1" showErrorMessage="1" sqref="J3 J5">
      <formula1>$A$3:$A$8</formula1>
    </dataValidation>
    <dataValidation type="list" allowBlank="1" showInputMessage="1" showErrorMessage="1" errorTitle="No es " sqref="R24:R29">
      <formula1>$A$3:$A$8</formula1>
    </dataValidation>
    <dataValidation type="list" allowBlank="1" showInputMessage="1" showErrorMessage="1" sqref="H11">
      <formula1>$A$54:$A$55</formula1>
    </dataValidation>
    <dataValidation type="list" allowBlank="1" showInputMessage="1" showErrorMessage="1" sqref="H12:H14">
      <formula1>$A$56:$A$57</formula1>
    </dataValidation>
    <dataValidation type="list" allowBlank="1" showInputMessage="1" showErrorMessage="1" sqref="N2">
      <formula1>$A$60:$A$64</formula1>
    </dataValidation>
    <dataValidation type="list" allowBlank="1" showInputMessage="1" showErrorMessage="1" sqref="L15:L30">
      <formula1>$A$67:$A$69</formula1>
    </dataValidation>
    <dataValidation type="list" allowBlank="1" showInputMessage="1" showErrorMessage="1" sqref="C37:C42">
      <formula1>$A$72:$A$76</formula1>
    </dataValidation>
    <dataValidation type="list" allowBlank="1" showInputMessage="1" showErrorMessage="1" sqref="H10">
      <formula1>$A$79:$A$81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2"/>
  <sheetViews>
    <sheetView workbookViewId="0">
      <selection activeCell="A17" sqref="A17:B17"/>
    </sheetView>
  </sheetViews>
  <sheetFormatPr baseColWidth="10" defaultRowHeight="15"/>
  <cols>
    <col min="1" max="1" width="12.7109375" customWidth="1"/>
    <col min="2" max="2" width="17.140625" customWidth="1"/>
    <col min="6" max="6" width="129" customWidth="1"/>
    <col min="7" max="7" width="5" customWidth="1"/>
    <col min="8" max="8" width="4.85546875" customWidth="1"/>
    <col min="9" max="9" width="6.28515625" customWidth="1"/>
  </cols>
  <sheetData>
    <row r="1" spans="1:14" ht="15.75" thickBot="1">
      <c r="A1" s="22" t="s">
        <v>100</v>
      </c>
      <c r="B1" s="19" t="s">
        <v>101</v>
      </c>
      <c r="C1" s="46" t="s">
        <v>110</v>
      </c>
      <c r="D1" s="46"/>
      <c r="E1" s="46"/>
      <c r="F1" s="46"/>
      <c r="G1" s="46"/>
      <c r="H1" s="46"/>
      <c r="I1" s="47"/>
    </row>
    <row r="2" spans="1:14">
      <c r="A2" s="22" t="s">
        <v>59</v>
      </c>
      <c r="B2" s="20"/>
      <c r="C2" s="48"/>
      <c r="D2" s="52"/>
      <c r="E2" s="52"/>
      <c r="F2" s="52"/>
      <c r="G2" s="52"/>
      <c r="H2" s="52"/>
      <c r="I2" s="49"/>
    </row>
    <row r="3" spans="1:14">
      <c r="A3" s="20">
        <v>1</v>
      </c>
      <c r="B3" s="20"/>
      <c r="C3" s="50"/>
      <c r="D3" s="56"/>
      <c r="E3" s="56"/>
      <c r="F3" s="56"/>
      <c r="G3" s="56"/>
      <c r="H3" s="56"/>
      <c r="I3" s="51"/>
    </row>
    <row r="4" spans="1:14">
      <c r="A4" s="20">
        <v>3</v>
      </c>
      <c r="B4" s="20"/>
      <c r="C4" s="50"/>
      <c r="D4" s="56"/>
      <c r="E4" s="56"/>
      <c r="F4" s="56"/>
      <c r="G4" s="56"/>
      <c r="H4" s="56"/>
      <c r="I4" s="51"/>
    </row>
    <row r="5" spans="1:14">
      <c r="A5" s="20">
        <v>6</v>
      </c>
      <c r="B5" s="20"/>
      <c r="C5" s="50"/>
      <c r="D5" s="56"/>
      <c r="E5" s="56"/>
      <c r="F5" s="56"/>
      <c r="G5" s="56"/>
      <c r="H5" s="56"/>
      <c r="I5" s="51"/>
    </row>
    <row r="6" spans="1:14">
      <c r="A6" s="20">
        <v>9</v>
      </c>
      <c r="B6" s="20"/>
      <c r="C6" s="50"/>
      <c r="D6" s="56"/>
      <c r="E6" s="56"/>
      <c r="F6" s="56"/>
      <c r="G6" s="56"/>
      <c r="H6" s="56"/>
      <c r="I6" s="51"/>
    </row>
    <row r="7" spans="1:14">
      <c r="A7" s="20">
        <v>12</v>
      </c>
      <c r="B7" s="20"/>
      <c r="C7" s="50"/>
      <c r="D7" s="56"/>
      <c r="E7" s="56"/>
      <c r="F7" s="56"/>
      <c r="G7" s="56"/>
      <c r="H7" s="56"/>
      <c r="I7" s="51"/>
    </row>
    <row r="8" spans="1:14">
      <c r="A8" s="20">
        <v>15</v>
      </c>
      <c r="B8" s="20"/>
      <c r="C8" s="50"/>
      <c r="D8" s="56"/>
      <c r="E8" s="56"/>
      <c r="F8" s="56"/>
      <c r="G8" s="56"/>
      <c r="H8" s="56"/>
      <c r="I8" s="51"/>
    </row>
    <row r="9" spans="1:14">
      <c r="A9" s="20">
        <v>18</v>
      </c>
      <c r="B9" s="20"/>
      <c r="C9" s="50"/>
      <c r="D9" s="56"/>
      <c r="E9" s="56"/>
      <c r="F9" s="56"/>
      <c r="G9" s="56"/>
      <c r="H9" s="56"/>
      <c r="I9" s="51"/>
    </row>
    <row r="10" spans="1:14">
      <c r="A10" s="20" t="s">
        <v>65</v>
      </c>
      <c r="B10" s="20"/>
      <c r="C10" s="50"/>
      <c r="D10" s="56"/>
      <c r="E10" s="56"/>
      <c r="F10" s="56"/>
      <c r="G10" s="56"/>
      <c r="H10" s="56"/>
      <c r="I10" s="51"/>
    </row>
    <row r="11" spans="1:14">
      <c r="A11" s="20" t="s">
        <v>65</v>
      </c>
      <c r="B11" s="20"/>
      <c r="C11" s="50"/>
      <c r="D11" s="56"/>
      <c r="E11" s="56"/>
      <c r="F11" s="56"/>
      <c r="G11" s="56"/>
      <c r="H11" s="56"/>
      <c r="I11" s="51"/>
    </row>
    <row r="12" spans="1:14">
      <c r="A12" s="20" t="s">
        <v>65</v>
      </c>
      <c r="B12" s="20"/>
      <c r="C12" s="50"/>
      <c r="D12" s="56"/>
      <c r="E12" s="56"/>
      <c r="F12" s="56"/>
      <c r="G12" s="56"/>
      <c r="H12" s="56"/>
      <c r="I12" s="51"/>
    </row>
    <row r="13" spans="1:14" ht="15.75" thickBot="1">
      <c r="A13" s="21" t="s">
        <v>65</v>
      </c>
      <c r="B13" s="21"/>
      <c r="C13" s="53"/>
      <c r="D13" s="54"/>
      <c r="E13" s="54"/>
      <c r="F13" s="54"/>
      <c r="G13" s="54"/>
      <c r="H13" s="54"/>
      <c r="I13" s="55"/>
    </row>
    <row r="14" spans="1:14" ht="15.75" thickBot="1"/>
    <row r="15" spans="1:14" ht="15.75" thickBot="1">
      <c r="A15" s="45" t="s">
        <v>102</v>
      </c>
      <c r="B15" s="47"/>
      <c r="C15" s="45" t="s">
        <v>101</v>
      </c>
      <c r="D15" s="46"/>
      <c r="E15" s="45" t="s">
        <v>110</v>
      </c>
      <c r="F15" s="46"/>
      <c r="G15" s="46"/>
      <c r="H15" s="46"/>
      <c r="I15" s="46"/>
      <c r="J15" s="46"/>
      <c r="K15" s="46"/>
      <c r="L15" s="46"/>
      <c r="M15" s="46"/>
      <c r="N15" s="47"/>
    </row>
    <row r="16" spans="1:14">
      <c r="A16" s="48" t="s">
        <v>205</v>
      </c>
      <c r="B16" s="52"/>
      <c r="C16" s="48"/>
      <c r="D16" s="49"/>
      <c r="E16" s="52"/>
      <c r="F16" s="52"/>
      <c r="G16" s="52"/>
      <c r="H16" s="52"/>
      <c r="I16" s="52"/>
      <c r="J16" s="52"/>
      <c r="K16" s="52"/>
      <c r="L16" s="52"/>
      <c r="M16" s="52"/>
      <c r="N16" s="49"/>
    </row>
    <row r="17" spans="1:14">
      <c r="A17" s="50" t="s">
        <v>204</v>
      </c>
      <c r="B17" s="56"/>
      <c r="C17" s="50"/>
      <c r="D17" s="51"/>
      <c r="E17" s="56"/>
      <c r="F17" s="56"/>
      <c r="G17" s="56"/>
      <c r="H17" s="56"/>
      <c r="I17" s="56"/>
      <c r="J17" s="56"/>
      <c r="K17" s="56"/>
      <c r="L17" s="56"/>
      <c r="M17" s="56"/>
      <c r="N17" s="51"/>
    </row>
    <row r="18" spans="1:14">
      <c r="A18" s="50" t="s">
        <v>201</v>
      </c>
      <c r="B18" s="56"/>
      <c r="C18" s="50"/>
      <c r="D18" s="51"/>
      <c r="E18" s="56"/>
      <c r="F18" s="56"/>
      <c r="G18" s="56"/>
      <c r="H18" s="56"/>
      <c r="I18" s="56"/>
      <c r="J18" s="56"/>
      <c r="K18" s="56"/>
      <c r="L18" s="56"/>
      <c r="M18" s="56"/>
      <c r="N18" s="51"/>
    </row>
    <row r="19" spans="1:14">
      <c r="A19" s="50" t="s">
        <v>202</v>
      </c>
      <c r="B19" s="56"/>
      <c r="C19" s="50"/>
      <c r="D19" s="51"/>
      <c r="E19" s="56"/>
      <c r="F19" s="56"/>
      <c r="G19" s="56"/>
      <c r="H19" s="56"/>
      <c r="I19" s="56"/>
      <c r="J19" s="56"/>
      <c r="K19" s="56"/>
      <c r="L19" s="56"/>
      <c r="M19" s="56"/>
      <c r="N19" s="51"/>
    </row>
    <row r="20" spans="1:14">
      <c r="A20" s="50" t="s">
        <v>203</v>
      </c>
      <c r="B20" s="56"/>
      <c r="C20" s="50"/>
      <c r="D20" s="51"/>
      <c r="E20" s="56"/>
      <c r="F20" s="56"/>
      <c r="G20" s="56"/>
      <c r="H20" s="56"/>
      <c r="I20" s="56"/>
      <c r="J20" s="56"/>
      <c r="K20" s="56"/>
      <c r="L20" s="56"/>
      <c r="M20" s="56"/>
      <c r="N20" s="51"/>
    </row>
    <row r="21" spans="1:14">
      <c r="A21" s="50" t="s">
        <v>103</v>
      </c>
      <c r="B21" s="56"/>
      <c r="C21" s="50"/>
      <c r="D21" s="51"/>
      <c r="E21" s="56"/>
      <c r="F21" s="56"/>
      <c r="G21" s="56"/>
      <c r="H21" s="56"/>
      <c r="I21" s="56"/>
      <c r="J21" s="56"/>
      <c r="K21" s="56"/>
      <c r="L21" s="56"/>
      <c r="M21" s="56"/>
      <c r="N21" s="51"/>
    </row>
    <row r="22" spans="1:14">
      <c r="A22" s="50" t="s">
        <v>104</v>
      </c>
      <c r="B22" s="56"/>
      <c r="C22" s="50"/>
      <c r="D22" s="51"/>
      <c r="E22" s="56"/>
      <c r="F22" s="56"/>
      <c r="G22" s="56"/>
      <c r="H22" s="56"/>
      <c r="I22" s="56"/>
      <c r="J22" s="56"/>
      <c r="K22" s="56"/>
      <c r="L22" s="56"/>
      <c r="M22" s="56"/>
      <c r="N22" s="51"/>
    </row>
    <row r="23" spans="1:14">
      <c r="A23" s="50" t="s">
        <v>105</v>
      </c>
      <c r="B23" s="56"/>
      <c r="C23" s="50"/>
      <c r="D23" s="51"/>
      <c r="E23" s="56"/>
      <c r="F23" s="56"/>
      <c r="G23" s="56"/>
      <c r="H23" s="56"/>
      <c r="I23" s="56"/>
      <c r="J23" s="56"/>
      <c r="K23" s="56"/>
      <c r="L23" s="56"/>
      <c r="M23" s="56"/>
      <c r="N23" s="51"/>
    </row>
    <row r="24" spans="1:14">
      <c r="A24" s="50" t="s">
        <v>106</v>
      </c>
      <c r="B24" s="56"/>
      <c r="C24" s="50"/>
      <c r="D24" s="51"/>
      <c r="E24" s="56"/>
      <c r="F24" s="56"/>
      <c r="G24" s="56"/>
      <c r="H24" s="56"/>
      <c r="I24" s="56"/>
      <c r="J24" s="56"/>
      <c r="K24" s="56"/>
      <c r="L24" s="56"/>
      <c r="M24" s="56"/>
      <c r="N24" s="51"/>
    </row>
    <row r="25" spans="1:14">
      <c r="A25" s="50" t="s">
        <v>107</v>
      </c>
      <c r="B25" s="56"/>
      <c r="C25" s="50"/>
      <c r="D25" s="51"/>
      <c r="E25" s="56"/>
      <c r="F25" s="56"/>
      <c r="G25" s="56"/>
      <c r="H25" s="56"/>
      <c r="I25" s="56"/>
      <c r="J25" s="56"/>
      <c r="K25" s="56"/>
      <c r="L25" s="56"/>
      <c r="M25" s="56"/>
      <c r="N25" s="51"/>
    </row>
    <row r="26" spans="1:14">
      <c r="A26" s="50" t="s">
        <v>108</v>
      </c>
      <c r="B26" s="56"/>
      <c r="C26" s="50"/>
      <c r="D26" s="51"/>
      <c r="E26" s="56"/>
      <c r="F26" s="56"/>
      <c r="G26" s="56"/>
      <c r="H26" s="56"/>
      <c r="I26" s="56"/>
      <c r="J26" s="56"/>
      <c r="K26" s="56"/>
      <c r="L26" s="56"/>
      <c r="M26" s="56"/>
      <c r="N26" s="51"/>
    </row>
    <row r="27" spans="1:14">
      <c r="A27" s="50" t="s">
        <v>109</v>
      </c>
      <c r="B27" s="56"/>
      <c r="C27" s="50"/>
      <c r="D27" s="51"/>
      <c r="E27" s="56"/>
      <c r="F27" s="56"/>
      <c r="G27" s="56"/>
      <c r="H27" s="56"/>
      <c r="I27" s="56"/>
      <c r="J27" s="56"/>
      <c r="K27" s="56"/>
      <c r="L27" s="56"/>
      <c r="M27" s="56"/>
      <c r="N27" s="51"/>
    </row>
    <row r="28" spans="1:14">
      <c r="A28" s="50" t="s">
        <v>65</v>
      </c>
      <c r="B28" s="56"/>
      <c r="C28" s="50"/>
      <c r="D28" s="51"/>
      <c r="E28" s="56"/>
      <c r="F28" s="56"/>
      <c r="G28" s="56"/>
      <c r="H28" s="56"/>
      <c r="I28" s="56"/>
      <c r="J28" s="56"/>
      <c r="K28" s="56"/>
      <c r="L28" s="56"/>
      <c r="M28" s="56"/>
      <c r="N28" s="51"/>
    </row>
    <row r="29" spans="1:14">
      <c r="A29" s="50" t="s">
        <v>65</v>
      </c>
      <c r="B29" s="56"/>
      <c r="C29" s="50"/>
      <c r="D29" s="51"/>
      <c r="E29" s="56"/>
      <c r="F29" s="56"/>
      <c r="G29" s="56"/>
      <c r="H29" s="56"/>
      <c r="I29" s="56"/>
      <c r="J29" s="56"/>
      <c r="K29" s="56"/>
      <c r="L29" s="56"/>
      <c r="M29" s="56"/>
      <c r="N29" s="51"/>
    </row>
    <row r="30" spans="1:14" ht="15.75" thickBot="1">
      <c r="A30" s="53" t="s">
        <v>65</v>
      </c>
      <c r="B30" s="54"/>
      <c r="C30" s="53"/>
      <c r="D30" s="55"/>
      <c r="E30" s="54"/>
      <c r="F30" s="54"/>
      <c r="G30" s="54"/>
      <c r="H30" s="54"/>
      <c r="I30" s="54"/>
      <c r="J30" s="54"/>
      <c r="K30" s="54"/>
      <c r="L30" s="54"/>
      <c r="M30" s="54"/>
      <c r="N30" s="55"/>
    </row>
    <row r="31" spans="1:14" ht="15.75" thickBot="1"/>
    <row r="32" spans="1:14" ht="15.75" thickBot="1">
      <c r="A32" s="45" t="s">
        <v>112</v>
      </c>
      <c r="B32" s="47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7"/>
    </row>
    <row r="33" spans="1:14" ht="15.75" thickBot="1">
      <c r="A33" s="53" t="s">
        <v>113</v>
      </c>
      <c r="B33" s="54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</row>
    <row r="34" spans="1:14" ht="15.75" thickBot="1"/>
    <row r="35" spans="1:14" ht="15.75" thickBot="1">
      <c r="A35" s="35" t="s">
        <v>54</v>
      </c>
      <c r="B35" s="45"/>
      <c r="C35" s="46"/>
      <c r="D35" s="46"/>
      <c r="E35" s="46"/>
      <c r="F35" s="46"/>
      <c r="G35" s="19" t="s">
        <v>111</v>
      </c>
      <c r="H35" s="30">
        <f ca="1">INT(Principal!L$1/2)+10+(Principal!I$3)</f>
        <v>10</v>
      </c>
    </row>
    <row r="36" spans="1:14">
      <c r="A36" s="22" t="s">
        <v>114</v>
      </c>
      <c r="B36" s="52"/>
      <c r="C36" s="52"/>
      <c r="D36" s="52"/>
      <c r="E36" s="52"/>
      <c r="F36" s="52"/>
      <c r="G36" s="52"/>
      <c r="H36" s="49"/>
    </row>
    <row r="37" spans="1:14">
      <c r="A37" s="20" t="s">
        <v>115</v>
      </c>
      <c r="B37" s="56"/>
      <c r="C37" s="56"/>
      <c r="D37" s="56"/>
      <c r="E37" s="56"/>
      <c r="F37" s="56"/>
      <c r="G37" s="56"/>
      <c r="H37" s="51"/>
    </row>
    <row r="38" spans="1:14">
      <c r="A38" s="20" t="s">
        <v>116</v>
      </c>
      <c r="B38" s="56"/>
      <c r="C38" s="56"/>
      <c r="D38" s="56"/>
      <c r="E38" s="56"/>
      <c r="F38" s="56"/>
      <c r="G38" s="56"/>
      <c r="H38" s="51"/>
    </row>
    <row r="39" spans="1:14">
      <c r="A39" s="20" t="s">
        <v>117</v>
      </c>
      <c r="B39" s="56"/>
      <c r="C39" s="56"/>
      <c r="D39" s="56"/>
      <c r="E39" s="56"/>
      <c r="F39" s="56"/>
      <c r="G39" s="56"/>
      <c r="H39" s="51"/>
    </row>
    <row r="40" spans="1:14">
      <c r="A40" s="20" t="s">
        <v>118</v>
      </c>
      <c r="B40" s="56"/>
      <c r="C40" s="56"/>
      <c r="D40" s="56"/>
      <c r="E40" s="56"/>
      <c r="F40" s="56"/>
      <c r="G40" s="56"/>
      <c r="H40" s="51"/>
    </row>
    <row r="41" spans="1:14">
      <c r="A41" s="20" t="s">
        <v>119</v>
      </c>
      <c r="B41" s="56"/>
      <c r="C41" s="56"/>
      <c r="D41" s="56"/>
      <c r="E41" s="56"/>
      <c r="F41" s="56"/>
      <c r="G41" s="56"/>
      <c r="H41" s="51"/>
    </row>
    <row r="42" spans="1:14" ht="15.75" thickBot="1">
      <c r="A42" s="21" t="s">
        <v>120</v>
      </c>
      <c r="B42" s="54"/>
      <c r="C42" s="54"/>
      <c r="D42" s="54"/>
      <c r="E42" s="54"/>
      <c r="F42" s="54"/>
      <c r="G42" s="54"/>
      <c r="H42" s="55"/>
    </row>
    <row r="44" spans="1:14" ht="15.75" thickBot="1"/>
    <row r="45" spans="1:14" ht="15.75" thickBot="1">
      <c r="A45" s="35" t="s">
        <v>44</v>
      </c>
      <c r="B45" s="45"/>
      <c r="C45" s="46"/>
      <c r="D45" s="46"/>
      <c r="E45" s="46"/>
      <c r="F45" s="46"/>
      <c r="G45" s="19" t="s">
        <v>111</v>
      </c>
      <c r="H45" s="30">
        <f ca="1">INT(Principal!L$1/2)+10+(Principal!I$3)</f>
        <v>10</v>
      </c>
    </row>
    <row r="46" spans="1:14">
      <c r="A46" s="22" t="s">
        <v>114</v>
      </c>
      <c r="B46" s="52"/>
      <c r="C46" s="52"/>
      <c r="D46" s="52"/>
      <c r="E46" s="52"/>
      <c r="F46" s="52"/>
      <c r="G46" s="52"/>
      <c r="H46" s="49"/>
    </row>
    <row r="47" spans="1:14">
      <c r="A47" s="20" t="s">
        <v>115</v>
      </c>
      <c r="B47" s="56"/>
      <c r="C47" s="56"/>
      <c r="D47" s="56"/>
      <c r="E47" s="56"/>
      <c r="F47" s="56"/>
      <c r="G47" s="56"/>
      <c r="H47" s="51"/>
    </row>
    <row r="48" spans="1:14">
      <c r="A48" s="20" t="s">
        <v>116</v>
      </c>
      <c r="B48" s="56"/>
      <c r="C48" s="56"/>
      <c r="D48" s="56"/>
      <c r="E48" s="56"/>
      <c r="F48" s="56"/>
      <c r="G48" s="56"/>
      <c r="H48" s="51"/>
    </row>
    <row r="49" spans="1:8">
      <c r="A49" s="20" t="s">
        <v>117</v>
      </c>
      <c r="B49" s="56"/>
      <c r="C49" s="56"/>
      <c r="D49" s="56"/>
      <c r="E49" s="56"/>
      <c r="F49" s="56"/>
      <c r="G49" s="56"/>
      <c r="H49" s="51"/>
    </row>
    <row r="50" spans="1:8">
      <c r="A50" s="20" t="s">
        <v>118</v>
      </c>
      <c r="B50" s="56"/>
      <c r="C50" s="56"/>
      <c r="D50" s="56"/>
      <c r="E50" s="56"/>
      <c r="F50" s="56"/>
      <c r="G50" s="56"/>
      <c r="H50" s="51"/>
    </row>
    <row r="51" spans="1:8">
      <c r="A51" s="20" t="s">
        <v>119</v>
      </c>
      <c r="B51" s="56"/>
      <c r="C51" s="56"/>
      <c r="D51" s="56"/>
      <c r="E51" s="56"/>
      <c r="F51" s="56"/>
      <c r="G51" s="56"/>
      <c r="H51" s="51"/>
    </row>
    <row r="52" spans="1:8" ht="15.75" thickBot="1">
      <c r="A52" s="21" t="s">
        <v>120</v>
      </c>
      <c r="B52" s="54"/>
      <c r="C52" s="54"/>
      <c r="D52" s="54"/>
      <c r="E52" s="54"/>
      <c r="F52" s="54"/>
      <c r="G52" s="54"/>
      <c r="H52" s="55"/>
    </row>
    <row r="54" spans="1:8" ht="15.75" thickBot="1"/>
    <row r="55" spans="1:8" ht="15.75" thickBot="1">
      <c r="A55" s="35" t="s">
        <v>55</v>
      </c>
      <c r="B55" s="45"/>
      <c r="C55" s="46"/>
      <c r="D55" s="46"/>
      <c r="E55" s="46"/>
      <c r="F55" s="46"/>
      <c r="G55" s="19" t="s">
        <v>111</v>
      </c>
      <c r="H55" s="30">
        <f ca="1">INT(Principal!L$1/2)+10+(Principal!I$3)</f>
        <v>10</v>
      </c>
    </row>
    <row r="56" spans="1:8">
      <c r="A56" s="22" t="s">
        <v>114</v>
      </c>
      <c r="B56" s="52"/>
      <c r="C56" s="52"/>
      <c r="D56" s="52"/>
      <c r="E56" s="52"/>
      <c r="F56" s="52"/>
      <c r="G56" s="52"/>
      <c r="H56" s="49"/>
    </row>
    <row r="57" spans="1:8">
      <c r="A57" s="20" t="s">
        <v>115</v>
      </c>
      <c r="B57" s="56"/>
      <c r="C57" s="56"/>
      <c r="D57" s="56"/>
      <c r="E57" s="56"/>
      <c r="F57" s="56"/>
      <c r="G57" s="56"/>
      <c r="H57" s="51"/>
    </row>
    <row r="58" spans="1:8">
      <c r="A58" s="20" t="s">
        <v>116</v>
      </c>
      <c r="B58" s="56"/>
      <c r="C58" s="56"/>
      <c r="D58" s="56"/>
      <c r="E58" s="56"/>
      <c r="F58" s="56"/>
      <c r="G58" s="56"/>
      <c r="H58" s="51"/>
    </row>
    <row r="59" spans="1:8">
      <c r="A59" s="20" t="s">
        <v>117</v>
      </c>
      <c r="B59" s="56"/>
      <c r="C59" s="56"/>
      <c r="D59" s="56"/>
      <c r="E59" s="56"/>
      <c r="F59" s="56"/>
      <c r="G59" s="56"/>
      <c r="H59" s="51"/>
    </row>
    <row r="60" spans="1:8">
      <c r="A60" s="20" t="s">
        <v>118</v>
      </c>
      <c r="B60" s="56"/>
      <c r="C60" s="56"/>
      <c r="D60" s="56"/>
      <c r="E60" s="56"/>
      <c r="F60" s="56"/>
      <c r="G60" s="56"/>
      <c r="H60" s="51"/>
    </row>
    <row r="61" spans="1:8">
      <c r="A61" s="20" t="s">
        <v>119</v>
      </c>
      <c r="B61" s="56"/>
      <c r="C61" s="56"/>
      <c r="D61" s="56"/>
      <c r="E61" s="56"/>
      <c r="F61" s="56"/>
      <c r="G61" s="56"/>
      <c r="H61" s="51"/>
    </row>
    <row r="62" spans="1:8" ht="15.75" thickBot="1">
      <c r="A62" s="21" t="s">
        <v>120</v>
      </c>
      <c r="B62" s="54"/>
      <c r="C62" s="54"/>
      <c r="D62" s="54"/>
      <c r="E62" s="54"/>
      <c r="F62" s="54"/>
      <c r="G62" s="54"/>
      <c r="H62" s="55"/>
    </row>
    <row r="64" spans="1:8" ht="15.75" thickBot="1"/>
    <row r="65" spans="1:8" ht="15.75" thickBot="1">
      <c r="A65" s="35" t="s">
        <v>56</v>
      </c>
      <c r="B65" s="45"/>
      <c r="C65" s="46"/>
      <c r="D65" s="46"/>
      <c r="E65" s="46"/>
      <c r="F65" s="46"/>
      <c r="G65" s="19" t="s">
        <v>111</v>
      </c>
      <c r="H65" s="30">
        <f ca="1">INT(Principal!L$1/2)+10+(Principal!I$3)</f>
        <v>10</v>
      </c>
    </row>
    <row r="66" spans="1:8">
      <c r="A66" s="22" t="s">
        <v>114</v>
      </c>
      <c r="B66" s="52"/>
      <c r="C66" s="52"/>
      <c r="D66" s="52"/>
      <c r="E66" s="52"/>
      <c r="F66" s="52"/>
      <c r="G66" s="52"/>
      <c r="H66" s="49"/>
    </row>
    <row r="67" spans="1:8">
      <c r="A67" s="20" t="s">
        <v>115</v>
      </c>
      <c r="B67" s="56"/>
      <c r="C67" s="56"/>
      <c r="D67" s="56"/>
      <c r="E67" s="56"/>
      <c r="F67" s="56"/>
      <c r="G67" s="56"/>
      <c r="H67" s="51"/>
    </row>
    <row r="68" spans="1:8">
      <c r="A68" s="20" t="s">
        <v>116</v>
      </c>
      <c r="B68" s="56"/>
      <c r="C68" s="56"/>
      <c r="D68" s="56"/>
      <c r="E68" s="56"/>
      <c r="F68" s="56"/>
      <c r="G68" s="56"/>
      <c r="H68" s="51"/>
    </row>
    <row r="69" spans="1:8">
      <c r="A69" s="20" t="s">
        <v>117</v>
      </c>
      <c r="B69" s="56"/>
      <c r="C69" s="56"/>
      <c r="D69" s="56"/>
      <c r="E69" s="56"/>
      <c r="F69" s="56"/>
      <c r="G69" s="56"/>
      <c r="H69" s="51"/>
    </row>
    <row r="70" spans="1:8">
      <c r="A70" s="20" t="s">
        <v>118</v>
      </c>
      <c r="B70" s="56"/>
      <c r="C70" s="56"/>
      <c r="D70" s="56"/>
      <c r="E70" s="56"/>
      <c r="F70" s="56"/>
      <c r="G70" s="56"/>
      <c r="H70" s="51"/>
    </row>
    <row r="71" spans="1:8">
      <c r="A71" s="20" t="s">
        <v>119</v>
      </c>
      <c r="B71" s="56"/>
      <c r="C71" s="56"/>
      <c r="D71" s="56"/>
      <c r="E71" s="56"/>
      <c r="F71" s="56"/>
      <c r="G71" s="56"/>
      <c r="H71" s="51"/>
    </row>
    <row r="72" spans="1:8" ht="15.75" thickBot="1">
      <c r="A72" s="21" t="s">
        <v>120</v>
      </c>
      <c r="B72" s="54"/>
      <c r="C72" s="54"/>
      <c r="D72" s="54"/>
      <c r="E72" s="54"/>
      <c r="F72" s="54"/>
      <c r="G72" s="54"/>
      <c r="H72" s="55"/>
    </row>
  </sheetData>
  <mergeCells count="97">
    <mergeCell ref="B68:H68"/>
    <mergeCell ref="B69:H69"/>
    <mergeCell ref="B70:H70"/>
    <mergeCell ref="B71:H71"/>
    <mergeCell ref="B72:H72"/>
    <mergeCell ref="B67:H67"/>
    <mergeCell ref="B52:H52"/>
    <mergeCell ref="B55:F55"/>
    <mergeCell ref="B56:H56"/>
    <mergeCell ref="B57:H57"/>
    <mergeCell ref="B58:H58"/>
    <mergeCell ref="B59:H59"/>
    <mergeCell ref="B60:H60"/>
    <mergeCell ref="B61:H61"/>
    <mergeCell ref="B62:H62"/>
    <mergeCell ref="B65:F65"/>
    <mergeCell ref="B66:H66"/>
    <mergeCell ref="B36:H36"/>
    <mergeCell ref="B51:H51"/>
    <mergeCell ref="B38:H38"/>
    <mergeCell ref="B39:H39"/>
    <mergeCell ref="B40:H40"/>
    <mergeCell ref="B41:H41"/>
    <mergeCell ref="B42:H42"/>
    <mergeCell ref="B45:F45"/>
    <mergeCell ref="B46:H46"/>
    <mergeCell ref="B47:H47"/>
    <mergeCell ref="B48:H48"/>
    <mergeCell ref="B49:H49"/>
    <mergeCell ref="B50:H50"/>
    <mergeCell ref="E23:N23"/>
    <mergeCell ref="E24:N24"/>
    <mergeCell ref="B37:H37"/>
    <mergeCell ref="E26:N26"/>
    <mergeCell ref="E27:N27"/>
    <mergeCell ref="E28:N28"/>
    <mergeCell ref="E29:N29"/>
    <mergeCell ref="E30:N30"/>
    <mergeCell ref="A32:B32"/>
    <mergeCell ref="C29:D29"/>
    <mergeCell ref="C30:D30"/>
    <mergeCell ref="A30:B30"/>
    <mergeCell ref="A33:B33"/>
    <mergeCell ref="C32:N32"/>
    <mergeCell ref="C33:N33"/>
    <mergeCell ref="B35:F35"/>
    <mergeCell ref="E25:N25"/>
    <mergeCell ref="C25:D25"/>
    <mergeCell ref="C26:D26"/>
    <mergeCell ref="C27:D27"/>
    <mergeCell ref="C28:D28"/>
    <mergeCell ref="C23:D23"/>
    <mergeCell ref="C24:D24"/>
    <mergeCell ref="A24:B24"/>
    <mergeCell ref="A23:B23"/>
    <mergeCell ref="C16:D16"/>
    <mergeCell ref="C17:D17"/>
    <mergeCell ref="C18:D18"/>
    <mergeCell ref="C19:D19"/>
    <mergeCell ref="C20:D20"/>
    <mergeCell ref="A20:B20"/>
    <mergeCell ref="A21:B21"/>
    <mergeCell ref="A22:B22"/>
    <mergeCell ref="C21:D21"/>
    <mergeCell ref="C22:D22"/>
    <mergeCell ref="A25:B25"/>
    <mergeCell ref="A26:B26"/>
    <mergeCell ref="A27:B27"/>
    <mergeCell ref="A28:B28"/>
    <mergeCell ref="A29:B29"/>
    <mergeCell ref="E20:N20"/>
    <mergeCell ref="E21:N21"/>
    <mergeCell ref="E22:N22"/>
    <mergeCell ref="C13:I13"/>
    <mergeCell ref="A15:B15"/>
    <mergeCell ref="A16:B16"/>
    <mergeCell ref="A17:B17"/>
    <mergeCell ref="A18:B18"/>
    <mergeCell ref="C15:D15"/>
    <mergeCell ref="E15:N15"/>
    <mergeCell ref="E16:N16"/>
    <mergeCell ref="E17:N17"/>
    <mergeCell ref="E18:N18"/>
    <mergeCell ref="E19:N19"/>
    <mergeCell ref="A19:B19"/>
    <mergeCell ref="C12:I12"/>
    <mergeCell ref="C1:I1"/>
    <mergeCell ref="C3:I3"/>
    <mergeCell ref="C2:I2"/>
    <mergeCell ref="C4:I4"/>
    <mergeCell ref="C5:I5"/>
    <mergeCell ref="C6:I6"/>
    <mergeCell ref="C7:I7"/>
    <mergeCell ref="C8:I8"/>
    <mergeCell ref="C9:I9"/>
    <mergeCell ref="C10:I10"/>
    <mergeCell ref="C11:I1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C12" sqref="C12:F12"/>
    </sheetView>
  </sheetViews>
  <sheetFormatPr baseColWidth="10" defaultRowHeight="15"/>
  <cols>
    <col min="3" max="3" width="12.5703125" customWidth="1"/>
    <col min="9" max="9" width="11.85546875" bestFit="1" customWidth="1"/>
    <col min="10" max="10" width="13.7109375" customWidth="1"/>
    <col min="11" max="11" width="15.28515625" customWidth="1"/>
    <col min="12" max="12" width="15.7109375" customWidth="1"/>
    <col min="17" max="17" width="17.5703125" customWidth="1"/>
  </cols>
  <sheetData>
    <row r="1" spans="1:19" ht="15.75" thickBot="1">
      <c r="A1" s="45" t="s">
        <v>121</v>
      </c>
      <c r="B1" s="46"/>
      <c r="C1" s="46"/>
      <c r="D1" s="47"/>
      <c r="F1" s="17" t="s">
        <v>122</v>
      </c>
      <c r="G1" s="18"/>
      <c r="H1" s="19">
        <f ca="1">INT(C5/5)</f>
        <v>0</v>
      </c>
      <c r="S1" s="37" t="s">
        <v>140</v>
      </c>
    </row>
    <row r="2" spans="1:19">
      <c r="S2" s="38">
        <v>0</v>
      </c>
    </row>
    <row r="3" spans="1:19" ht="15.75" thickBot="1">
      <c r="S3" s="38">
        <v>1</v>
      </c>
    </row>
    <row r="4" spans="1:19" ht="15.75" thickBot="1">
      <c r="A4" s="45" t="s">
        <v>101</v>
      </c>
      <c r="B4" s="47"/>
      <c r="C4" s="22" t="s">
        <v>127</v>
      </c>
      <c r="D4" s="22" t="s">
        <v>131</v>
      </c>
      <c r="E4" s="22" t="s">
        <v>86</v>
      </c>
      <c r="F4" s="22" t="s">
        <v>58</v>
      </c>
      <c r="G4" s="26" t="s">
        <v>18</v>
      </c>
      <c r="H4" s="22" t="s">
        <v>132</v>
      </c>
      <c r="I4" s="22" t="s">
        <v>135</v>
      </c>
      <c r="J4" s="9" t="s">
        <v>134</v>
      </c>
      <c r="K4" s="9" t="s">
        <v>136</v>
      </c>
      <c r="L4" s="26" t="s">
        <v>137</v>
      </c>
      <c r="M4" s="58" t="s">
        <v>133</v>
      </c>
      <c r="N4" s="59"/>
      <c r="P4" s="19" t="s">
        <v>138</v>
      </c>
      <c r="Q4" s="18" t="s">
        <v>139</v>
      </c>
      <c r="S4" s="38">
        <v>2</v>
      </c>
    </row>
    <row r="5" spans="1:19" ht="15.75" thickBot="1">
      <c r="A5" s="48" t="s">
        <v>123</v>
      </c>
      <c r="B5" s="52"/>
      <c r="C5" s="9">
        <f ca="1" xml:space="preserve"> INT(Principal!I$11*Principal!L1)</f>
        <v>1</v>
      </c>
      <c r="D5" s="10">
        <v>0</v>
      </c>
      <c r="E5" s="10"/>
      <c r="F5" s="10">
        <f ca="1">Principal!C$21</f>
        <v>0</v>
      </c>
      <c r="G5" s="10">
        <f ca="1">Principal!I$3</f>
        <v>0</v>
      </c>
      <c r="H5" s="10">
        <f ca="1">MAX(0,INT(Principal!G$3/2))</f>
        <v>0</v>
      </c>
      <c r="I5" s="10"/>
      <c r="J5" s="11"/>
      <c r="K5" s="11">
        <f ca="1">C5+F5+E5+G5+J5</f>
        <v>1</v>
      </c>
      <c r="L5" s="11">
        <f ca="1">K5-5</f>
        <v>-4</v>
      </c>
      <c r="M5" s="10" t="s">
        <v>19</v>
      </c>
      <c r="N5" s="22">
        <f ca="1" xml:space="preserve"> D5 + ( (INT((D5+5)/6)*INT(Principal!L$1*D5/6))) + G5 + H5 + I5</f>
        <v>0</v>
      </c>
      <c r="P5" s="20">
        <v>0</v>
      </c>
      <c r="Q5" s="22">
        <f xml:space="preserve"> P5 + ( (INT((P5+5)/6)*INT(Principal!L$1*P5/6)))</f>
        <v>0</v>
      </c>
      <c r="S5" s="39">
        <v>3</v>
      </c>
    </row>
    <row r="6" spans="1:19">
      <c r="A6" s="50"/>
      <c r="B6" s="56"/>
      <c r="C6" s="12">
        <f ca="1" xml:space="preserve"> INT(Principal!I$11*Principal!L1)</f>
        <v>1</v>
      </c>
      <c r="D6" s="2">
        <v>0</v>
      </c>
      <c r="E6" s="2"/>
      <c r="F6" s="2">
        <f ca="1">Principal!C$21</f>
        <v>0</v>
      </c>
      <c r="G6" s="2">
        <f ca="1">Principal!I$3</f>
        <v>0</v>
      </c>
      <c r="H6" s="2">
        <f ca="1">MAX(0,INT(Principal!G$3/2))</f>
        <v>0</v>
      </c>
      <c r="I6" s="2"/>
      <c r="J6" s="13"/>
      <c r="K6" s="13">
        <f t="shared" ref="K6:K9" ca="1" si="0">C6+F6+E6+G6+J6</f>
        <v>1</v>
      </c>
      <c r="L6" s="13">
        <f t="shared" ref="L6:L9" ca="1" si="1">K6-5</f>
        <v>-4</v>
      </c>
      <c r="M6" s="2" t="s">
        <v>19</v>
      </c>
      <c r="N6" s="20">
        <f ca="1" xml:space="preserve"> D6 + ( (INT((D6+5)/6)*INT(Principal!L$1*D6/6))) + G6 + H6 + I6</f>
        <v>0</v>
      </c>
      <c r="P6" s="20">
        <v>0</v>
      </c>
      <c r="Q6" s="20">
        <f xml:space="preserve"> P6 + ( (INT((P6+5)/6)*INT(Principal!L$1*P6/6)))</f>
        <v>0</v>
      </c>
    </row>
    <row r="7" spans="1:19">
      <c r="A7" s="50"/>
      <c r="B7" s="56"/>
      <c r="C7" s="12">
        <f ca="1" xml:space="preserve"> INT(Principal!I$11*Principal!L1)</f>
        <v>1</v>
      </c>
      <c r="D7" s="2">
        <v>0</v>
      </c>
      <c r="E7" s="2"/>
      <c r="F7" s="2">
        <f ca="1">Principal!C$21</f>
        <v>0</v>
      </c>
      <c r="G7" s="2">
        <f ca="1">Principal!I$3</f>
        <v>0</v>
      </c>
      <c r="H7" s="2">
        <f ca="1">MAX(0,INT(Principal!G$3/2))</f>
        <v>0</v>
      </c>
      <c r="I7" s="2"/>
      <c r="J7" s="13"/>
      <c r="K7" s="13">
        <f t="shared" ca="1" si="0"/>
        <v>1</v>
      </c>
      <c r="L7" s="13">
        <f t="shared" ca="1" si="1"/>
        <v>-4</v>
      </c>
      <c r="M7" s="2" t="s">
        <v>19</v>
      </c>
      <c r="N7" s="20">
        <f ca="1" xml:space="preserve"> D7 + ( (INT((D7+5)/6)*INT(Principal!L$1*D7/6))) + G7 + H7 + I7</f>
        <v>0</v>
      </c>
      <c r="P7" s="20">
        <v>0</v>
      </c>
      <c r="Q7" s="20">
        <f xml:space="preserve"> P7 + ( (INT((P7+5)/6)*INT(Principal!L$1*P7/6)))</f>
        <v>0</v>
      </c>
    </row>
    <row r="8" spans="1:19">
      <c r="A8" s="50"/>
      <c r="B8" s="56"/>
      <c r="C8" s="12">
        <f ca="1" xml:space="preserve"> INT(Principal!I$11*Principal!L1)</f>
        <v>1</v>
      </c>
      <c r="D8" s="24">
        <v>0</v>
      </c>
      <c r="E8" s="2"/>
      <c r="F8" s="2">
        <f ca="1">Principal!C$21</f>
        <v>0</v>
      </c>
      <c r="G8" s="2">
        <f ca="1">Principal!I$3</f>
        <v>0</v>
      </c>
      <c r="H8" s="2">
        <f ca="1">MAX(0,INT(Principal!G$3/2))</f>
        <v>0</v>
      </c>
      <c r="I8" s="2"/>
      <c r="J8" s="13"/>
      <c r="K8" s="13">
        <f t="shared" ca="1" si="0"/>
        <v>1</v>
      </c>
      <c r="L8" s="13">
        <f t="shared" ca="1" si="1"/>
        <v>-4</v>
      </c>
      <c r="M8" s="2" t="s">
        <v>19</v>
      </c>
      <c r="N8" s="20">
        <f ca="1" xml:space="preserve"> D8 + ( (INT((D8+5)/6)*INT(Principal!L$1*D8/6))) + G8 + H8 + I8</f>
        <v>0</v>
      </c>
      <c r="P8" s="20">
        <v>0</v>
      </c>
      <c r="Q8" s="20">
        <f xml:space="preserve"> P8 + ( (INT((P8+5)/6)*INT(Principal!L$1*P8/6)))</f>
        <v>0</v>
      </c>
    </row>
    <row r="9" spans="1:19" ht="15.75" thickBot="1">
      <c r="A9" s="53"/>
      <c r="B9" s="54"/>
      <c r="C9" s="14">
        <f ca="1" xml:space="preserve"> INT(Principal!I$11*Principal!L1)</f>
        <v>1</v>
      </c>
      <c r="D9" s="15">
        <v>0</v>
      </c>
      <c r="E9" s="15"/>
      <c r="F9" s="15">
        <f ca="1">Principal!C$21</f>
        <v>0</v>
      </c>
      <c r="G9" s="15">
        <f ca="1">Principal!I$3</f>
        <v>0</v>
      </c>
      <c r="H9" s="15">
        <f ca="1">MAX(0,INT(Principal!G$3/2))</f>
        <v>0</v>
      </c>
      <c r="I9" s="15"/>
      <c r="J9" s="16"/>
      <c r="K9" s="16">
        <f t="shared" ca="1" si="0"/>
        <v>1</v>
      </c>
      <c r="L9" s="16">
        <f t="shared" ca="1" si="1"/>
        <v>-4</v>
      </c>
      <c r="M9" s="15" t="s">
        <v>19</v>
      </c>
      <c r="N9" s="21"/>
      <c r="P9" s="21">
        <v>0</v>
      </c>
      <c r="Q9" s="21">
        <f xml:space="preserve"> P9 + ( (INT((P9+5)/6)*INT(Principal!L$1*P9/6)))</f>
        <v>0</v>
      </c>
    </row>
    <row r="10" spans="1:19" ht="15.75" thickBot="1"/>
    <row r="11" spans="1:19" ht="15.75" thickBot="1">
      <c r="A11" s="45" t="s">
        <v>121</v>
      </c>
      <c r="B11" s="46"/>
      <c r="C11" s="46"/>
      <c r="D11" s="46"/>
      <c r="E11" s="46"/>
      <c r="F11" s="47"/>
      <c r="G11" s="19" t="s">
        <v>124</v>
      </c>
      <c r="H11" s="45" t="s">
        <v>125</v>
      </c>
      <c r="I11" s="46"/>
      <c r="J11" s="46"/>
      <c r="K11" s="47"/>
      <c r="M11" s="19" t="s">
        <v>21</v>
      </c>
      <c r="N11" s="45" t="s">
        <v>141</v>
      </c>
      <c r="O11" s="60"/>
    </row>
    <row r="12" spans="1:19" ht="15.75" thickBot="1">
      <c r="A12" s="48" t="s">
        <v>123</v>
      </c>
      <c r="B12" s="49"/>
      <c r="C12" s="48" t="s">
        <v>126</v>
      </c>
      <c r="D12" s="52"/>
      <c r="E12" s="52"/>
      <c r="F12" s="49"/>
      <c r="G12" s="22">
        <f ca="1">Principal!I27</f>
        <v>5</v>
      </c>
      <c r="H12" s="48" t="s">
        <v>20</v>
      </c>
      <c r="I12" s="52"/>
      <c r="J12" s="52"/>
      <c r="K12" s="49"/>
      <c r="M12" s="19">
        <f>INT(2+(Principal!L1/4))</f>
        <v>2</v>
      </c>
      <c r="N12" s="14">
        <f xml:space="preserve"> 1 + INT(Principal!L1/7)</f>
        <v>1</v>
      </c>
      <c r="O12" s="16" t="s">
        <v>22</v>
      </c>
    </row>
    <row r="13" spans="1:19">
      <c r="A13" s="50"/>
      <c r="B13" s="51"/>
      <c r="C13" s="50"/>
      <c r="D13" s="56"/>
      <c r="E13" s="56"/>
      <c r="F13" s="51"/>
      <c r="G13" s="20"/>
      <c r="H13" s="50"/>
      <c r="I13" s="56"/>
      <c r="J13" s="56"/>
      <c r="K13" s="51"/>
    </row>
    <row r="14" spans="1:19">
      <c r="A14" s="50"/>
      <c r="B14" s="51"/>
      <c r="C14" s="50"/>
      <c r="D14" s="56"/>
      <c r="E14" s="56"/>
      <c r="F14" s="51"/>
      <c r="G14" s="20"/>
      <c r="H14" s="50"/>
      <c r="I14" s="56"/>
      <c r="J14" s="56"/>
      <c r="K14" s="51"/>
    </row>
    <row r="15" spans="1:19">
      <c r="A15" s="50"/>
      <c r="B15" s="51"/>
      <c r="C15" s="50"/>
      <c r="D15" s="56"/>
      <c r="E15" s="56"/>
      <c r="F15" s="51"/>
      <c r="G15" s="20"/>
      <c r="H15" s="50"/>
      <c r="I15" s="56"/>
      <c r="J15" s="56"/>
      <c r="K15" s="51"/>
    </row>
    <row r="16" spans="1:19" ht="15.75" thickBot="1">
      <c r="A16" s="53"/>
      <c r="B16" s="55"/>
      <c r="C16" s="53"/>
      <c r="D16" s="54"/>
      <c r="E16" s="54"/>
      <c r="F16" s="55"/>
      <c r="G16" s="21"/>
      <c r="H16" s="53"/>
      <c r="I16" s="54"/>
      <c r="J16" s="54"/>
      <c r="K16" s="55"/>
    </row>
  </sheetData>
  <mergeCells count="26">
    <mergeCell ref="A15:B15"/>
    <mergeCell ref="A16:B16"/>
    <mergeCell ref="C14:F14"/>
    <mergeCell ref="C15:F15"/>
    <mergeCell ref="C16:F16"/>
    <mergeCell ref="H14:K14"/>
    <mergeCell ref="H15:K15"/>
    <mergeCell ref="H16:K16"/>
    <mergeCell ref="A9:B9"/>
    <mergeCell ref="M4:N4"/>
    <mergeCell ref="A11:F11"/>
    <mergeCell ref="A12:B12"/>
    <mergeCell ref="A13:B13"/>
    <mergeCell ref="H11:K11"/>
    <mergeCell ref="H12:K12"/>
    <mergeCell ref="H13:K13"/>
    <mergeCell ref="A8:B8"/>
    <mergeCell ref="N11:O11"/>
    <mergeCell ref="C12:F12"/>
    <mergeCell ref="C13:F13"/>
    <mergeCell ref="A14:B14"/>
    <mergeCell ref="A1:D1"/>
    <mergeCell ref="A4:B4"/>
    <mergeCell ref="A5:B5"/>
    <mergeCell ref="A6:B6"/>
    <mergeCell ref="A7:B7"/>
  </mergeCells>
  <dataValidations count="1">
    <dataValidation type="list" allowBlank="1" showInputMessage="1" showErrorMessage="1" sqref="D5:D9 P5:P9">
      <formula1>$S$2:$S$5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8"/>
  <sheetViews>
    <sheetView tabSelected="1" topLeftCell="A11" workbookViewId="0">
      <selection activeCell="A39" sqref="A39"/>
    </sheetView>
  </sheetViews>
  <sheetFormatPr baseColWidth="10" defaultRowHeight="15"/>
  <cols>
    <col min="1" max="1" width="37" customWidth="1"/>
    <col min="2" max="2" width="15.7109375" customWidth="1"/>
    <col min="3" max="3" width="223.28515625" customWidth="1"/>
  </cols>
  <sheetData>
    <row r="1" spans="1:3" ht="15.75" thickBot="1">
      <c r="A1" s="43" t="s">
        <v>172</v>
      </c>
    </row>
    <row r="2" spans="1:3">
      <c r="A2" s="22" t="s">
        <v>162</v>
      </c>
      <c r="B2" s="9"/>
      <c r="C2" s="11" t="s">
        <v>197</v>
      </c>
    </row>
    <row r="3" spans="1:3">
      <c r="A3" s="20" t="s">
        <v>163</v>
      </c>
      <c r="B3" s="12"/>
      <c r="C3" s="13" t="s">
        <v>198</v>
      </c>
    </row>
    <row r="4" spans="1:3">
      <c r="A4" s="20" t="s">
        <v>164</v>
      </c>
      <c r="B4" s="12" t="s">
        <v>169</v>
      </c>
      <c r="C4" s="13" t="s">
        <v>206</v>
      </c>
    </row>
    <row r="5" spans="1:3">
      <c r="A5" s="20" t="s">
        <v>165</v>
      </c>
      <c r="B5" s="12" t="s">
        <v>169</v>
      </c>
      <c r="C5" s="13" t="s">
        <v>207</v>
      </c>
    </row>
    <row r="6" spans="1:3">
      <c r="A6" s="20" t="s">
        <v>166</v>
      </c>
      <c r="B6" s="12" t="s">
        <v>169</v>
      </c>
      <c r="C6" s="13" t="s">
        <v>208</v>
      </c>
    </row>
    <row r="7" spans="1:3">
      <c r="A7" s="20" t="s">
        <v>167</v>
      </c>
      <c r="B7" s="12" t="s">
        <v>169</v>
      </c>
      <c r="C7" s="13" t="s">
        <v>209</v>
      </c>
    </row>
    <row r="8" spans="1:3">
      <c r="A8" s="20" t="s">
        <v>171</v>
      </c>
      <c r="B8" s="12" t="s">
        <v>169</v>
      </c>
      <c r="C8" s="13" t="s">
        <v>210</v>
      </c>
    </row>
    <row r="9" spans="1:3">
      <c r="A9" s="20" t="s">
        <v>170</v>
      </c>
      <c r="B9" s="12" t="s">
        <v>169</v>
      </c>
      <c r="C9" s="13" t="s">
        <v>211</v>
      </c>
    </row>
    <row r="10" spans="1:3">
      <c r="A10" s="20"/>
      <c r="B10" s="12"/>
      <c r="C10" s="13"/>
    </row>
    <row r="11" spans="1:3">
      <c r="A11" s="20"/>
      <c r="B11" s="12"/>
      <c r="C11" s="13"/>
    </row>
    <row r="12" spans="1:3">
      <c r="A12" s="20"/>
      <c r="B12" s="12"/>
      <c r="C12" s="13"/>
    </row>
    <row r="13" spans="1:3">
      <c r="A13" s="20"/>
      <c r="B13" s="12"/>
      <c r="C13" s="13"/>
    </row>
    <row r="14" spans="1:3">
      <c r="A14" s="20"/>
      <c r="B14" s="12"/>
      <c r="C14" s="13"/>
    </row>
    <row r="15" spans="1:3">
      <c r="A15" s="20"/>
      <c r="B15" s="12"/>
      <c r="C15" s="13"/>
    </row>
    <row r="16" spans="1:3">
      <c r="A16" s="20"/>
      <c r="B16" s="12"/>
      <c r="C16" s="13"/>
    </row>
    <row r="17" spans="1:3">
      <c r="A17" s="20"/>
      <c r="B17" s="12"/>
      <c r="C17" s="13"/>
    </row>
    <row r="18" spans="1:3">
      <c r="A18" s="20"/>
      <c r="B18" s="12"/>
      <c r="C18" s="13"/>
    </row>
    <row r="19" spans="1:3">
      <c r="A19" s="20"/>
      <c r="B19" s="12"/>
      <c r="C19" s="13"/>
    </row>
    <row r="20" spans="1:3">
      <c r="A20" s="20"/>
      <c r="B20" s="12"/>
      <c r="C20" s="13"/>
    </row>
    <row r="21" spans="1:3" ht="15.75" thickBot="1">
      <c r="A21" s="21"/>
      <c r="B21" s="14"/>
      <c r="C21" s="16"/>
    </row>
    <row r="22" spans="1:3" ht="15.75" thickBot="1">
      <c r="A22" s="43" t="s">
        <v>173</v>
      </c>
    </row>
    <row r="23" spans="1:3">
      <c r="A23" s="22" t="s">
        <v>193</v>
      </c>
      <c r="B23" s="9"/>
      <c r="C23" s="11" t="s">
        <v>196</v>
      </c>
    </row>
    <row r="24" spans="1:3">
      <c r="A24" s="20" t="s">
        <v>194</v>
      </c>
      <c r="B24" s="12" t="s">
        <v>169</v>
      </c>
      <c r="C24" s="13" t="s">
        <v>192</v>
      </c>
    </row>
    <row r="25" spans="1:3">
      <c r="A25" s="20" t="s">
        <v>195</v>
      </c>
      <c r="B25" s="12" t="s">
        <v>169</v>
      </c>
      <c r="C25" s="13" t="s">
        <v>191</v>
      </c>
    </row>
    <row r="26" spans="1:3">
      <c r="A26" s="20" t="s">
        <v>168</v>
      </c>
      <c r="B26" s="12"/>
      <c r="C26" s="13" t="s">
        <v>187</v>
      </c>
    </row>
    <row r="27" spans="1:3">
      <c r="A27" s="20"/>
      <c r="B27" s="12"/>
      <c r="C27" s="13"/>
    </row>
    <row r="28" spans="1:3">
      <c r="A28" s="20"/>
      <c r="B28" s="12"/>
      <c r="C28" s="13"/>
    </row>
    <row r="29" spans="1:3">
      <c r="A29" s="20"/>
      <c r="B29" s="12"/>
      <c r="C29" s="13"/>
    </row>
    <row r="30" spans="1:3">
      <c r="A30" s="20"/>
      <c r="B30" s="12"/>
      <c r="C30" s="13"/>
    </row>
    <row r="31" spans="1:3">
      <c r="A31" s="20"/>
      <c r="B31" s="12"/>
      <c r="C31" s="13"/>
    </row>
    <row r="32" spans="1:3">
      <c r="A32" s="20"/>
      <c r="B32" s="12"/>
      <c r="C32" s="13"/>
    </row>
    <row r="33" spans="1:3">
      <c r="A33" s="20"/>
      <c r="B33" s="12"/>
      <c r="C33" s="13"/>
    </row>
    <row r="34" spans="1:3" ht="15.75" thickBot="1">
      <c r="A34" s="21"/>
      <c r="B34" s="14"/>
      <c r="C34" s="16"/>
    </row>
    <row r="35" spans="1:3" ht="15.75" thickBot="1">
      <c r="A35" s="43" t="s">
        <v>175</v>
      </c>
      <c r="B35" t="s">
        <v>181</v>
      </c>
    </row>
    <row r="36" spans="1:3">
      <c r="A36" s="22" t="s">
        <v>176</v>
      </c>
      <c r="B36" s="9"/>
      <c r="C36" s="11" t="s">
        <v>177</v>
      </c>
    </row>
    <row r="37" spans="1:3">
      <c r="A37" s="20" t="s">
        <v>178</v>
      </c>
      <c r="B37" s="12"/>
      <c r="C37" s="13" t="s">
        <v>179</v>
      </c>
    </row>
    <row r="38" spans="1:3">
      <c r="A38" s="20" t="s">
        <v>180</v>
      </c>
      <c r="B38" s="12"/>
      <c r="C38" s="13"/>
    </row>
    <row r="39" spans="1:3">
      <c r="A39" s="20"/>
      <c r="B39" s="12"/>
      <c r="C39" s="13"/>
    </row>
    <row r="40" spans="1:3">
      <c r="A40" s="20"/>
      <c r="B40" s="12"/>
      <c r="C40" s="13"/>
    </row>
    <row r="41" spans="1:3">
      <c r="A41" s="20"/>
      <c r="B41" s="12"/>
      <c r="C41" s="13"/>
    </row>
    <row r="42" spans="1:3">
      <c r="A42" s="20"/>
      <c r="B42" s="12"/>
      <c r="C42" s="13"/>
    </row>
    <row r="43" spans="1:3">
      <c r="A43" s="20"/>
      <c r="B43" s="12"/>
      <c r="C43" s="13"/>
    </row>
    <row r="44" spans="1:3">
      <c r="A44" s="20"/>
      <c r="B44" s="12"/>
      <c r="C44" s="13"/>
    </row>
    <row r="45" spans="1:3">
      <c r="A45" s="20"/>
      <c r="B45" s="12"/>
      <c r="C45" s="13"/>
    </row>
    <row r="46" spans="1:3">
      <c r="A46" s="20"/>
      <c r="B46" s="12"/>
      <c r="C46" s="13"/>
    </row>
    <row r="47" spans="1:3">
      <c r="A47" s="20"/>
      <c r="B47" s="12"/>
      <c r="C47" s="13"/>
    </row>
    <row r="48" spans="1:3">
      <c r="A48" s="20"/>
      <c r="B48" s="12"/>
      <c r="C48" s="13"/>
    </row>
    <row r="49" spans="1:3">
      <c r="A49" s="20"/>
      <c r="B49" s="12"/>
      <c r="C49" s="13"/>
    </row>
    <row r="50" spans="1:3" ht="15.75" thickBot="1">
      <c r="A50" s="21"/>
      <c r="B50" s="14"/>
      <c r="C50" s="16"/>
    </row>
    <row r="51" spans="1:3" ht="15.75" thickBot="1">
      <c r="A51" s="44" t="s">
        <v>174</v>
      </c>
      <c r="B51" t="s">
        <v>181</v>
      </c>
      <c r="C51" t="s">
        <v>190</v>
      </c>
    </row>
    <row r="52" spans="1:3">
      <c r="A52" s="22"/>
      <c r="B52" s="10"/>
      <c r="C52" s="11"/>
    </row>
    <row r="53" spans="1:3">
      <c r="A53" s="20"/>
      <c r="B53" s="2"/>
      <c r="C53" s="13"/>
    </row>
    <row r="54" spans="1:3">
      <c r="A54" s="20"/>
      <c r="B54" s="2"/>
      <c r="C54" s="13"/>
    </row>
    <row r="55" spans="1:3">
      <c r="A55" s="20"/>
      <c r="B55" s="2"/>
      <c r="C55" s="13"/>
    </row>
    <row r="56" spans="1:3">
      <c r="A56" s="20"/>
      <c r="B56" s="2"/>
      <c r="C56" s="13"/>
    </row>
    <row r="57" spans="1:3" ht="15.75" thickBot="1">
      <c r="A57" s="21"/>
      <c r="B57" s="15"/>
      <c r="C57" s="16"/>
    </row>
    <row r="58" spans="1:3" ht="15.75" thickBot="1">
      <c r="A58" s="43" t="s">
        <v>182</v>
      </c>
    </row>
    <row r="59" spans="1:3">
      <c r="A59" s="22" t="s">
        <v>183</v>
      </c>
      <c r="B59" s="9"/>
      <c r="C59" s="11" t="s">
        <v>184</v>
      </c>
    </row>
    <row r="60" spans="1:3">
      <c r="A60" s="20" t="s">
        <v>185</v>
      </c>
      <c r="B60" s="12"/>
      <c r="C60" s="13" t="s">
        <v>189</v>
      </c>
    </row>
    <row r="61" spans="1:3">
      <c r="A61" s="20" t="s">
        <v>186</v>
      </c>
      <c r="B61" s="12"/>
      <c r="C61" s="13" t="s">
        <v>188</v>
      </c>
    </row>
    <row r="62" spans="1:3">
      <c r="A62" s="20"/>
      <c r="B62" s="12"/>
      <c r="C62" s="13"/>
    </row>
    <row r="63" spans="1:3">
      <c r="A63" s="20"/>
      <c r="B63" s="12"/>
      <c r="C63" s="13"/>
    </row>
    <row r="64" spans="1:3">
      <c r="A64" s="20"/>
      <c r="B64" s="12"/>
      <c r="C64" s="13"/>
    </row>
    <row r="65" spans="1:3">
      <c r="A65" s="20"/>
      <c r="B65" s="12"/>
      <c r="C65" s="13"/>
    </row>
    <row r="66" spans="1:3">
      <c r="A66" s="20"/>
      <c r="B66" s="12"/>
      <c r="C66" s="13"/>
    </row>
    <row r="67" spans="1:3">
      <c r="A67" s="20"/>
      <c r="B67" s="12"/>
      <c r="C67" s="13"/>
    </row>
    <row r="68" spans="1:3" ht="15.75" thickBot="1">
      <c r="A68" s="21"/>
      <c r="B68" s="14"/>
      <c r="C6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Principal</vt:lpstr>
      <vt:lpstr>Feats, items, circles</vt:lpstr>
      <vt:lpstr>Special abilites and Attacks</vt:lpstr>
      <vt:lpstr>Guide</vt:lpstr>
    </vt:vector>
  </TitlesOfParts>
  <Company>Matances SL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Sobrassada</dc:creator>
  <cp:lastModifiedBy>Sobrassada</cp:lastModifiedBy>
  <dcterms:created xsi:type="dcterms:W3CDTF">2016-11-23T16:12:44Z</dcterms:created>
  <dcterms:modified xsi:type="dcterms:W3CDTF">2018-01-10T21:02:50Z</dcterms:modified>
</cp:coreProperties>
</file>